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Job Search/04_Portfolio/MBA/"/>
    </mc:Choice>
  </mc:AlternateContent>
  <xr:revisionPtr revIDLastSave="0" documentId="13_ncr:1_{E2F363D4-81DD-AE4F-9E76-73026DFE5C2C}" xr6:coauthVersionLast="47" xr6:coauthVersionMax="47" xr10:uidLastSave="{00000000-0000-0000-0000-000000000000}"/>
  <bookViews>
    <workbookView xWindow="0" yWindow="740" windowWidth="29400" windowHeight="18380" xr2:uid="{DE2A0C56-BD7C-46CC-AF8E-CF3FE0A3001E}"/>
  </bookViews>
  <sheets>
    <sheet name="Data" sheetId="7" r:id="rId1"/>
    <sheet name="Ratios" sheetId="8" r:id="rId2"/>
    <sheet name="DCF" sheetId="1" r:id="rId3"/>
    <sheet name="Trading Comps" sheetId="2" r:id="rId4"/>
    <sheet name="Deal Comps" sheetId="4" r:id="rId5"/>
    <sheet name="Valuation Summary" sheetId="5" r:id="rId6"/>
    <sheet name="README" sheetId="6" r:id="rId7"/>
  </sheets>
  <definedNames>
    <definedName name="_xlnm.Print_Area" localSheetId="0">Data!$A$1:$H$61</definedName>
    <definedName name="_xlnm.Print_Area" localSheetId="2">DCF!$B$1:$O$178</definedName>
    <definedName name="_xlnm.Print_Area" localSheetId="4">'Deal Comps'!$A$1:$U$51</definedName>
    <definedName name="_xlnm.Print_Area" localSheetId="6">README!$A$1:$N$53</definedName>
    <definedName name="_xlnm.Print_Area" localSheetId="3">'Trading Comps'!$A$1:$V$49</definedName>
    <definedName name="_xlnm.Print_Area" localSheetId="5">'Valuation Summary'!$A$1:$N$35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M14" i="4"/>
  <c r="J78" i="1" l="1"/>
  <c r="L50" i="1"/>
  <c r="J83" i="1"/>
  <c r="J73" i="1"/>
  <c r="J63" i="1"/>
  <c r="C83" i="1"/>
  <c r="C73" i="1"/>
  <c r="F80" i="1"/>
  <c r="F70" i="1"/>
  <c r="M80" i="1"/>
  <c r="L80" i="1" s="1"/>
  <c r="K80" i="1" s="1"/>
  <c r="M70" i="1"/>
  <c r="M60" i="1"/>
  <c r="L49" i="1"/>
  <c r="J48" i="1"/>
  <c r="BU32" i="2" l="1"/>
  <c r="BR32" i="2"/>
  <c r="BP32" i="2"/>
  <c r="J97" i="1" l="1"/>
  <c r="K97" i="1"/>
  <c r="L97" i="1"/>
  <c r="M97" i="1"/>
  <c r="N97" i="1"/>
  <c r="O97" i="1"/>
  <c r="AN32" i="2" l="1"/>
  <c r="AL32" i="2"/>
  <c r="AK32" i="2"/>
  <c r="AF32" i="2"/>
  <c r="AE32" i="2"/>
  <c r="AD32" i="2"/>
  <c r="AC32" i="2"/>
  <c r="AB32" i="2"/>
  <c r="Z32" i="2"/>
  <c r="B34" i="2"/>
  <c r="B32" i="2"/>
  <c r="B30" i="2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C119" i="1"/>
  <c r="C118" i="1"/>
  <c r="C117" i="1"/>
  <c r="D113" i="1"/>
  <c r="E113" i="1"/>
  <c r="F113" i="1"/>
  <c r="G113" i="1"/>
  <c r="H113" i="1"/>
  <c r="C113" i="1"/>
  <c r="D112" i="1"/>
  <c r="E112" i="1"/>
  <c r="F112" i="1"/>
  <c r="G112" i="1"/>
  <c r="H112" i="1"/>
  <c r="C112" i="1"/>
  <c r="D111" i="1"/>
  <c r="E111" i="1"/>
  <c r="F111" i="1"/>
  <c r="G111" i="1"/>
  <c r="H111" i="1"/>
  <c r="C111" i="1"/>
  <c r="B127" i="1"/>
  <c r="B88" i="1"/>
  <c r="B54" i="1"/>
  <c r="Y30" i="4"/>
  <c r="B30" i="4"/>
  <c r="B28" i="4"/>
  <c r="C3" i="5"/>
  <c r="B1" i="4"/>
  <c r="B1" i="2"/>
  <c r="B1" i="1"/>
  <c r="B1" i="8"/>
  <c r="D19" i="7"/>
  <c r="E19" i="7"/>
  <c r="F19" i="7"/>
  <c r="G19" i="7"/>
  <c r="H19" i="7"/>
  <c r="C19" i="7"/>
  <c r="H17" i="7"/>
  <c r="G17" i="7"/>
  <c r="F17" i="7"/>
  <c r="E17" i="7"/>
  <c r="D17" i="7"/>
  <c r="C17" i="7"/>
  <c r="H16" i="7"/>
  <c r="G16" i="7"/>
  <c r="F16" i="7"/>
  <c r="E16" i="7"/>
  <c r="D16" i="7"/>
  <c r="C16" i="7"/>
  <c r="H14" i="7"/>
  <c r="H15" i="7" s="1"/>
  <c r="G14" i="7"/>
  <c r="G15" i="7" s="1"/>
  <c r="F14" i="7"/>
  <c r="F13" i="1" s="1"/>
  <c r="E14" i="7"/>
  <c r="E13" i="1" s="1"/>
  <c r="D14" i="7"/>
  <c r="D13" i="1" s="1"/>
  <c r="D102" i="1" s="1"/>
  <c r="C14" i="7"/>
  <c r="C15" i="7" s="1"/>
  <c r="C18" i="7" s="1"/>
  <c r="C13" i="1"/>
  <c r="G18" i="7" l="1"/>
  <c r="G20" i="7" s="1"/>
  <c r="E15" i="7"/>
  <c r="E18" i="7" s="1"/>
  <c r="E20" i="7" s="1"/>
  <c r="H18" i="7"/>
  <c r="H20" i="7" s="1"/>
  <c r="H21" i="7" s="1"/>
  <c r="H22" i="7" s="1"/>
  <c r="C20" i="7"/>
  <c r="D59" i="8"/>
  <c r="H59" i="8"/>
  <c r="E59" i="8"/>
  <c r="E106" i="1"/>
  <c r="C106" i="1"/>
  <c r="D106" i="1"/>
  <c r="G21" i="7"/>
  <c r="G22" i="7"/>
  <c r="H25" i="8"/>
  <c r="H40" i="8"/>
  <c r="E21" i="7"/>
  <c r="E22" i="7" s="1"/>
  <c r="C102" i="1"/>
  <c r="D15" i="7"/>
  <c r="D18" i="7" s="1"/>
  <c r="D20" i="7" s="1"/>
  <c r="G59" i="8"/>
  <c r="E102" i="1"/>
  <c r="F15" i="7"/>
  <c r="F18" i="7" s="1"/>
  <c r="F20" i="7" s="1"/>
  <c r="F59" i="8"/>
  <c r="F102" i="1"/>
  <c r="F106" i="1"/>
  <c r="G25" i="8"/>
  <c r="H23" i="7"/>
  <c r="H24" i="7" s="1"/>
  <c r="B1" i="7"/>
  <c r="C21" i="7" l="1"/>
  <c r="C22" i="7" s="1"/>
  <c r="E25" i="8"/>
  <c r="E40" i="8"/>
  <c r="E23" i="7"/>
  <c r="E24" i="7" s="1"/>
  <c r="D21" i="7"/>
  <c r="D22" i="7" s="1"/>
  <c r="G23" i="7"/>
  <c r="G24" i="7" s="1"/>
  <c r="G40" i="8"/>
  <c r="F21" i="7"/>
  <c r="F22" i="7"/>
  <c r="E67" i="8"/>
  <c r="F67" i="8"/>
  <c r="G67" i="8"/>
  <c r="H67" i="8"/>
  <c r="D67" i="8"/>
  <c r="E66" i="8"/>
  <c r="F66" i="8"/>
  <c r="G66" i="8"/>
  <c r="H66" i="8"/>
  <c r="D66" i="8"/>
  <c r="E65" i="8"/>
  <c r="F65" i="8"/>
  <c r="G65" i="8"/>
  <c r="H65" i="8"/>
  <c r="D65" i="8"/>
  <c r="E60" i="8"/>
  <c r="F60" i="8"/>
  <c r="G60" i="8"/>
  <c r="H60" i="8"/>
  <c r="D60" i="8"/>
  <c r="E62" i="8"/>
  <c r="F62" i="8"/>
  <c r="G62" i="8"/>
  <c r="H62" i="8"/>
  <c r="D62" i="8"/>
  <c r="E61" i="8"/>
  <c r="F61" i="8"/>
  <c r="G61" i="8"/>
  <c r="H61" i="8"/>
  <c r="D61" i="8"/>
  <c r="E58" i="8"/>
  <c r="F58" i="8"/>
  <c r="G58" i="8"/>
  <c r="H58" i="8"/>
  <c r="D58" i="8"/>
  <c r="E41" i="8"/>
  <c r="F41" i="8"/>
  <c r="G41" i="8"/>
  <c r="H41" i="8"/>
  <c r="D41" i="8"/>
  <c r="E32" i="8"/>
  <c r="F32" i="8"/>
  <c r="G32" i="8"/>
  <c r="H32" i="8"/>
  <c r="D32" i="8"/>
  <c r="D28" i="8"/>
  <c r="E28" i="8"/>
  <c r="F28" i="8"/>
  <c r="G28" i="8"/>
  <c r="H28" i="8"/>
  <c r="C17" i="8"/>
  <c r="C15" i="8"/>
  <c r="E8" i="8"/>
  <c r="F8" i="8"/>
  <c r="G8" i="8"/>
  <c r="H8" i="8"/>
  <c r="D8" i="8"/>
  <c r="D6" i="8"/>
  <c r="E6" i="8"/>
  <c r="F6" i="8"/>
  <c r="G6" i="8"/>
  <c r="H6" i="8"/>
  <c r="C6" i="8"/>
  <c r="L14" i="4"/>
  <c r="AT32" i="2"/>
  <c r="BQ32" i="2" s="1"/>
  <c r="C23" i="7" l="1"/>
  <c r="C24" i="7"/>
  <c r="F25" i="8"/>
  <c r="F40" i="8"/>
  <c r="F23" i="7"/>
  <c r="F24" i="7" s="1"/>
  <c r="D25" i="8"/>
  <c r="D40" i="8"/>
  <c r="D23" i="7"/>
  <c r="D24" i="7" s="1"/>
  <c r="F10" i="8"/>
  <c r="E10" i="8"/>
  <c r="D10" i="8"/>
  <c r="H10" i="8"/>
  <c r="G10" i="8"/>
  <c r="B21" i="2"/>
  <c r="AG21" i="2"/>
  <c r="AH21" i="2" s="1"/>
  <c r="AI21" i="2" s="1"/>
  <c r="AK21" i="2"/>
  <c r="AO21" i="2" s="1"/>
  <c r="AQ21" i="2"/>
  <c r="CS21" i="2" s="1"/>
  <c r="V21" i="2" s="1"/>
  <c r="AT21" i="2"/>
  <c r="AU21" i="2"/>
  <c r="BB21" i="2"/>
  <c r="BD21" i="2" s="1"/>
  <c r="BE21" i="2" s="1"/>
  <c r="BC21" i="2"/>
  <c r="BJ21" i="2"/>
  <c r="BK21" i="2"/>
  <c r="BP21" i="2"/>
  <c r="BU21" i="2"/>
  <c r="U21" i="2" s="1"/>
  <c r="BX21" i="2"/>
  <c r="BY21" i="2"/>
  <c r="BZ21" i="2" s="1"/>
  <c r="CC21" i="2"/>
  <c r="CI21" i="2" s="1"/>
  <c r="CE21" i="2"/>
  <c r="CF21" i="2"/>
  <c r="C69" i="7"/>
  <c r="C59" i="7" s="1"/>
  <c r="D69" i="7"/>
  <c r="D59" i="7" s="1"/>
  <c r="E69" i="7"/>
  <c r="E59" i="7" s="1"/>
  <c r="F69" i="7"/>
  <c r="G69" i="7"/>
  <c r="H69" i="7"/>
  <c r="D70" i="7"/>
  <c r="E70" i="7"/>
  <c r="F70" i="7"/>
  <c r="G70" i="7"/>
  <c r="H70" i="7"/>
  <c r="C70" i="7"/>
  <c r="H12" i="7"/>
  <c r="H30" i="7" s="1"/>
  <c r="C67" i="7"/>
  <c r="D67" i="7"/>
  <c r="E67" i="7"/>
  <c r="F67" i="7"/>
  <c r="G67" i="7"/>
  <c r="H67" i="7"/>
  <c r="J42" i="1"/>
  <c r="J46" i="1"/>
  <c r="J44" i="1"/>
  <c r="H29" i="1"/>
  <c r="G29" i="1"/>
  <c r="F29" i="1"/>
  <c r="E29" i="1"/>
  <c r="D29" i="1"/>
  <c r="C29" i="1"/>
  <c r="H20" i="1"/>
  <c r="G20" i="1"/>
  <c r="F20" i="1"/>
  <c r="E20" i="1"/>
  <c r="D20" i="1"/>
  <c r="C20" i="1"/>
  <c r="H16" i="1"/>
  <c r="G16" i="1"/>
  <c r="F16" i="1"/>
  <c r="E16" i="1"/>
  <c r="D16" i="1"/>
  <c r="C16" i="1"/>
  <c r="H13" i="1"/>
  <c r="G13" i="1"/>
  <c r="H11" i="1"/>
  <c r="G11" i="1"/>
  <c r="G14" i="1" s="1"/>
  <c r="F11" i="1"/>
  <c r="E11" i="1"/>
  <c r="D11" i="1"/>
  <c r="C11" i="1"/>
  <c r="G95" i="1" l="1"/>
  <c r="CP21" i="2"/>
  <c r="H95" i="1"/>
  <c r="E95" i="1"/>
  <c r="BR21" i="2"/>
  <c r="F95" i="1"/>
  <c r="G59" i="7"/>
  <c r="BQ21" i="2"/>
  <c r="G106" i="1"/>
  <c r="G102" i="1"/>
  <c r="H102" i="1"/>
  <c r="H106" i="1"/>
  <c r="D96" i="1"/>
  <c r="D28" i="1"/>
  <c r="E96" i="1"/>
  <c r="E28" i="1"/>
  <c r="F96" i="1"/>
  <c r="F28" i="1"/>
  <c r="G96" i="1"/>
  <c r="G28" i="1"/>
  <c r="H96" i="1"/>
  <c r="H28" i="1"/>
  <c r="C95" i="1"/>
  <c r="C96" i="1"/>
  <c r="C28" i="1"/>
  <c r="D95" i="1"/>
  <c r="CR21" i="2"/>
  <c r="CQ21" i="2"/>
  <c r="BL21" i="2"/>
  <c r="BM21" i="2" s="1"/>
  <c r="AV21" i="2"/>
  <c r="AW21" i="2" s="1"/>
  <c r="BT21" i="2" s="1"/>
  <c r="N21" i="2" s="1"/>
  <c r="H14" i="1"/>
  <c r="H17" i="1" s="1"/>
  <c r="E14" i="1"/>
  <c r="E17" i="1" s="1"/>
  <c r="E94" i="1"/>
  <c r="C14" i="1"/>
  <c r="C17" i="1" s="1"/>
  <c r="C21" i="1" s="1"/>
  <c r="C94" i="1"/>
  <c r="F14" i="1"/>
  <c r="F17" i="1" s="1"/>
  <c r="F94" i="1"/>
  <c r="G94" i="1"/>
  <c r="D14" i="1"/>
  <c r="D17" i="1" s="1"/>
  <c r="D94" i="1"/>
  <c r="H94" i="1"/>
  <c r="G17" i="1"/>
  <c r="H39" i="8"/>
  <c r="C14" i="8"/>
  <c r="H24" i="8"/>
  <c r="H57" i="8"/>
  <c r="H5" i="8"/>
  <c r="F69" i="8"/>
  <c r="F73" i="8" s="1"/>
  <c r="H69" i="8"/>
  <c r="H73" i="8" s="1"/>
  <c r="E69" i="8"/>
  <c r="E73" i="8" s="1"/>
  <c r="D69" i="8"/>
  <c r="D73" i="8" s="1"/>
  <c r="G69" i="8"/>
  <c r="G73" i="8" s="1"/>
  <c r="G70" i="8"/>
  <c r="G72" i="8" s="1"/>
  <c r="H70" i="8"/>
  <c r="H72" i="8" s="1"/>
  <c r="E71" i="8"/>
  <c r="E74" i="8" s="1"/>
  <c r="F71" i="8"/>
  <c r="F74" i="8" s="1"/>
  <c r="G71" i="8"/>
  <c r="G74" i="8" s="1"/>
  <c r="H71" i="8"/>
  <c r="H74" i="8" s="1"/>
  <c r="D71" i="8"/>
  <c r="D74" i="8" s="1"/>
  <c r="E70" i="8"/>
  <c r="E72" i="8" s="1"/>
  <c r="F70" i="8"/>
  <c r="F72" i="8" s="1"/>
  <c r="F59" i="7"/>
  <c r="H59" i="7"/>
  <c r="G12" i="7"/>
  <c r="G30" i="7" s="1"/>
  <c r="H56" i="7"/>
  <c r="D70" i="8"/>
  <c r="D72" i="8" s="1"/>
  <c r="AJ21" i="2"/>
  <c r="C21" i="2" s="1"/>
  <c r="D21" i="2" s="1"/>
  <c r="F21" i="2" s="1"/>
  <c r="BS21" i="2" l="1"/>
  <c r="R21" i="2" s="1"/>
  <c r="E21" i="1"/>
  <c r="E23" i="1" s="1"/>
  <c r="E24" i="1" s="1"/>
  <c r="E19" i="1"/>
  <c r="H21" i="1"/>
  <c r="H23" i="1" s="1"/>
  <c r="H24" i="1" s="1"/>
  <c r="H19" i="1"/>
  <c r="G21" i="1"/>
  <c r="G22" i="1" s="1"/>
  <c r="G19" i="1"/>
  <c r="D21" i="1"/>
  <c r="D23" i="1" s="1"/>
  <c r="D19" i="1"/>
  <c r="F21" i="1"/>
  <c r="F23" i="1" s="1"/>
  <c r="F24" i="1" s="1"/>
  <c r="F19" i="1"/>
  <c r="K21" i="2"/>
  <c r="C23" i="1"/>
  <c r="C24" i="1" s="1"/>
  <c r="E22" i="1"/>
  <c r="J21" i="2"/>
  <c r="P21" i="2"/>
  <c r="O21" i="2"/>
  <c r="L21" i="2"/>
  <c r="G21" i="2"/>
  <c r="S21" i="2"/>
  <c r="H21" i="2"/>
  <c r="C22" i="1"/>
  <c r="G5" i="8"/>
  <c r="G57" i="8"/>
  <c r="G24" i="8"/>
  <c r="H30" i="8"/>
  <c r="G39" i="8"/>
  <c r="H7" i="8"/>
  <c r="H64" i="8"/>
  <c r="G75" i="8"/>
  <c r="E75" i="8"/>
  <c r="H75" i="8"/>
  <c r="F75" i="8"/>
  <c r="D75" i="8"/>
  <c r="F12" i="7"/>
  <c r="F30" i="7" s="1"/>
  <c r="G45" i="8" s="1"/>
  <c r="G56" i="7"/>
  <c r="C45" i="7"/>
  <c r="C47" i="7" s="1"/>
  <c r="D45" i="7"/>
  <c r="D47" i="7" s="1"/>
  <c r="E45" i="7"/>
  <c r="E47" i="7" s="1"/>
  <c r="F45" i="7"/>
  <c r="F47" i="7" s="1"/>
  <c r="G45" i="7"/>
  <c r="G47" i="7" s="1"/>
  <c r="H45" i="7"/>
  <c r="H47" i="7" s="1"/>
  <c r="D36" i="7"/>
  <c r="D38" i="7" s="1"/>
  <c r="E36" i="7"/>
  <c r="E38" i="7" s="1"/>
  <c r="F36" i="7"/>
  <c r="F38" i="7" s="1"/>
  <c r="G36" i="7"/>
  <c r="G38" i="7" s="1"/>
  <c r="H36" i="7"/>
  <c r="H38" i="7" s="1"/>
  <c r="H43" i="8" s="1"/>
  <c r="C36" i="7"/>
  <c r="C38" i="7" s="1"/>
  <c r="D47" i="8" s="1"/>
  <c r="E65" i="7"/>
  <c r="F65" i="7"/>
  <c r="G65" i="7"/>
  <c r="H65" i="7"/>
  <c r="D65" i="7"/>
  <c r="D58" i="7"/>
  <c r="E58" i="7"/>
  <c r="F58" i="7"/>
  <c r="G58" i="7"/>
  <c r="H58" i="7"/>
  <c r="C58" i="7"/>
  <c r="C26" i="7"/>
  <c r="C27" i="7" s="1"/>
  <c r="H45" i="8"/>
  <c r="F22" i="1" l="1"/>
  <c r="D22" i="1"/>
  <c r="H22" i="1"/>
  <c r="D24" i="1"/>
  <c r="E26" i="1" s="1"/>
  <c r="F26" i="1"/>
  <c r="D26" i="1"/>
  <c r="G23" i="1"/>
  <c r="G24" i="1" s="1"/>
  <c r="G26" i="1" s="1"/>
  <c r="E71" i="7"/>
  <c r="E26" i="8"/>
  <c r="E35" i="8" s="1"/>
  <c r="E49" i="8"/>
  <c r="E26" i="7"/>
  <c r="E27" i="7" s="1"/>
  <c r="H49" i="8"/>
  <c r="H26" i="8"/>
  <c r="H35" i="8" s="1"/>
  <c r="H26" i="7"/>
  <c r="H71" i="7"/>
  <c r="H27" i="7"/>
  <c r="F71" i="7"/>
  <c r="F26" i="7"/>
  <c r="F27" i="7" s="1"/>
  <c r="F26" i="8"/>
  <c r="F35" i="8" s="1"/>
  <c r="F49" i="8"/>
  <c r="E47" i="8"/>
  <c r="D43" i="8"/>
  <c r="F47" i="8"/>
  <c r="E43" i="8"/>
  <c r="G71" i="7"/>
  <c r="G49" i="8"/>
  <c r="G26" i="8"/>
  <c r="G35" i="8" s="1"/>
  <c r="G26" i="7"/>
  <c r="G27" i="7" s="1"/>
  <c r="G43" i="8"/>
  <c r="H47" i="8"/>
  <c r="H50" i="8" s="1"/>
  <c r="F43" i="8"/>
  <c r="G47" i="8"/>
  <c r="D71" i="7"/>
  <c r="D49" i="8"/>
  <c r="D26" i="7"/>
  <c r="D27" i="7" s="1"/>
  <c r="D26" i="8"/>
  <c r="D35" i="8" s="1"/>
  <c r="F5" i="8"/>
  <c r="F57" i="8"/>
  <c r="F24" i="8"/>
  <c r="F39" i="8"/>
  <c r="G30" i="8"/>
  <c r="G64" i="8"/>
  <c r="G7" i="8"/>
  <c r="C68" i="7"/>
  <c r="C57" i="7"/>
  <c r="C60" i="7" s="1"/>
  <c r="H68" i="7"/>
  <c r="H57" i="7"/>
  <c r="G68" i="7"/>
  <c r="G57" i="7"/>
  <c r="D68" i="7"/>
  <c r="D57" i="7"/>
  <c r="F68" i="7"/>
  <c r="F57" i="7"/>
  <c r="E68" i="7"/>
  <c r="E57" i="7"/>
  <c r="E60" i="7" s="1"/>
  <c r="E12" i="7"/>
  <c r="E30" i="7" s="1"/>
  <c r="F56" i="7"/>
  <c r="C66" i="7"/>
  <c r="E66" i="7"/>
  <c r="D66" i="7"/>
  <c r="H66" i="7"/>
  <c r="G66" i="7"/>
  <c r="F66" i="7"/>
  <c r="H26" i="1" l="1"/>
  <c r="H52" i="8"/>
  <c r="F50" i="8"/>
  <c r="F52" i="8" s="1"/>
  <c r="G50" i="8"/>
  <c r="G52" i="8" s="1"/>
  <c r="E50" i="8"/>
  <c r="E52" i="8" s="1"/>
  <c r="F64" i="8"/>
  <c r="E57" i="8"/>
  <c r="E24" i="8"/>
  <c r="E5" i="8"/>
  <c r="F7" i="8"/>
  <c r="E39" i="8"/>
  <c r="F30" i="8"/>
  <c r="D50" i="8"/>
  <c r="D52" i="8" s="1"/>
  <c r="D12" i="7"/>
  <c r="D30" i="7" s="1"/>
  <c r="E56" i="7"/>
  <c r="F45" i="8"/>
  <c r="H60" i="7"/>
  <c r="G60" i="7"/>
  <c r="F60" i="7"/>
  <c r="D60" i="7"/>
  <c r="H101" i="1"/>
  <c r="H103" i="1"/>
  <c r="H107" i="1"/>
  <c r="H108" i="1"/>
  <c r="D57" i="8" l="1"/>
  <c r="D24" i="8"/>
  <c r="E7" i="8"/>
  <c r="D39" i="8"/>
  <c r="D5" i="8"/>
  <c r="E30" i="8"/>
  <c r="E64" i="8"/>
  <c r="C12" i="7"/>
  <c r="C30" i="7" s="1"/>
  <c r="D56" i="7"/>
  <c r="E45" i="8"/>
  <c r="C13" i="4"/>
  <c r="C62" i="1"/>
  <c r="D7" i="8" l="1"/>
  <c r="D30" i="8"/>
  <c r="C5" i="8"/>
  <c r="C16" i="8"/>
  <c r="C18" i="8" s="1"/>
  <c r="C20" i="8" s="1"/>
  <c r="D64" i="8"/>
  <c r="C56" i="7"/>
  <c r="D45" i="8"/>
  <c r="I32" i="5"/>
  <c r="H32" i="5"/>
  <c r="B1" i="5"/>
  <c r="V21" i="5"/>
  <c r="S21" i="5"/>
  <c r="U22" i="5" l="1"/>
  <c r="T22" i="5"/>
  <c r="V22" i="5" l="1"/>
  <c r="S22" i="5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K14" i="4"/>
  <c r="L13" i="4"/>
  <c r="M13" i="4"/>
  <c r="K13" i="4"/>
  <c r="L36" i="4"/>
  <c r="AE14" i="4"/>
  <c r="AE15" i="4"/>
  <c r="AE16" i="4"/>
  <c r="AE17" i="4"/>
  <c r="AE18" i="4"/>
  <c r="AE19" i="4"/>
  <c r="AE20" i="4"/>
  <c r="AE13" i="4"/>
  <c r="K30" i="4"/>
  <c r="Q30" i="4"/>
  <c r="L30" i="4"/>
  <c r="M30" i="4"/>
  <c r="F14" i="4"/>
  <c r="F15" i="4"/>
  <c r="F16" i="4"/>
  <c r="F17" i="4"/>
  <c r="F18" i="4"/>
  <c r="F19" i="4"/>
  <c r="F20" i="4"/>
  <c r="F13" i="4"/>
  <c r="Q14" i="4"/>
  <c r="Q15" i="4"/>
  <c r="Q16" i="4"/>
  <c r="Q17" i="4"/>
  <c r="Q18" i="4"/>
  <c r="Q19" i="4"/>
  <c r="Q20" i="4"/>
  <c r="Q13" i="4"/>
  <c r="S14" i="4"/>
  <c r="T14" i="4"/>
  <c r="U14" i="4"/>
  <c r="S15" i="4"/>
  <c r="T15" i="4"/>
  <c r="U15" i="4"/>
  <c r="S16" i="4"/>
  <c r="T16" i="4"/>
  <c r="U16" i="4"/>
  <c r="S17" i="4"/>
  <c r="T17" i="4"/>
  <c r="U17" i="4"/>
  <c r="S18" i="4"/>
  <c r="T18" i="4"/>
  <c r="U18" i="4"/>
  <c r="S19" i="4"/>
  <c r="T19" i="4"/>
  <c r="U19" i="4"/>
  <c r="S20" i="4"/>
  <c r="T20" i="4"/>
  <c r="U20" i="4"/>
  <c r="T13" i="4"/>
  <c r="U13" i="4"/>
  <c r="S13" i="4"/>
  <c r="O14" i="4"/>
  <c r="O15" i="4"/>
  <c r="O16" i="4"/>
  <c r="O17" i="4"/>
  <c r="O18" i="4"/>
  <c r="O19" i="4"/>
  <c r="O20" i="4"/>
  <c r="O13" i="4"/>
  <c r="B14" i="4"/>
  <c r="C14" i="4"/>
  <c r="D14" i="4"/>
  <c r="E14" i="4"/>
  <c r="G14" i="4"/>
  <c r="B15" i="4"/>
  <c r="C15" i="4"/>
  <c r="D15" i="4"/>
  <c r="E15" i="4"/>
  <c r="G15" i="4"/>
  <c r="B16" i="4"/>
  <c r="C16" i="4"/>
  <c r="D16" i="4"/>
  <c r="E16" i="4"/>
  <c r="G16" i="4"/>
  <c r="B17" i="4"/>
  <c r="C17" i="4"/>
  <c r="D17" i="4"/>
  <c r="E17" i="4"/>
  <c r="G17" i="4"/>
  <c r="B18" i="4"/>
  <c r="C18" i="4"/>
  <c r="D18" i="4"/>
  <c r="E18" i="4"/>
  <c r="G18" i="4"/>
  <c r="B19" i="4"/>
  <c r="C19" i="4"/>
  <c r="D19" i="4"/>
  <c r="E19" i="4"/>
  <c r="G19" i="4"/>
  <c r="B20" i="4"/>
  <c r="C20" i="4"/>
  <c r="D20" i="4"/>
  <c r="E20" i="4"/>
  <c r="G20" i="4"/>
  <c r="D13" i="4"/>
  <c r="E13" i="4"/>
  <c r="G13" i="4"/>
  <c r="B13" i="4"/>
  <c r="K36" i="4" l="1"/>
  <c r="M36" i="4"/>
  <c r="U25" i="4"/>
  <c r="U23" i="4"/>
  <c r="U22" i="4"/>
  <c r="U26" i="4"/>
  <c r="AG32" i="2"/>
  <c r="AH32" i="2" s="1"/>
  <c r="AI32" i="2" s="1"/>
  <c r="AG14" i="2"/>
  <c r="AH14" i="2" s="1"/>
  <c r="AI14" i="2" s="1"/>
  <c r="AG15" i="2"/>
  <c r="AH15" i="2" s="1"/>
  <c r="AI15" i="2" s="1"/>
  <c r="AG16" i="2"/>
  <c r="AH16" i="2" s="1"/>
  <c r="AI16" i="2" s="1"/>
  <c r="AG17" i="2"/>
  <c r="AH17" i="2" s="1"/>
  <c r="AI17" i="2" s="1"/>
  <c r="AG18" i="2"/>
  <c r="AH18" i="2" s="1"/>
  <c r="AI18" i="2" s="1"/>
  <c r="AG19" i="2"/>
  <c r="AH19" i="2" s="1"/>
  <c r="AI19" i="2" s="1"/>
  <c r="AG20" i="2"/>
  <c r="AH20" i="2" s="1"/>
  <c r="AI20" i="2" s="1"/>
  <c r="AG13" i="2"/>
  <c r="AH13" i="2" s="1"/>
  <c r="AI13" i="2" s="1"/>
  <c r="CE15" i="2"/>
  <c r="CF15" i="2" s="1"/>
  <c r="BY15" i="2"/>
  <c r="BZ15" i="2" s="1"/>
  <c r="CY32" i="2"/>
  <c r="W32" i="2" s="1"/>
  <c r="CV32" i="2"/>
  <c r="W22" i="2"/>
  <c r="W21" i="2"/>
  <c r="CY20" i="2"/>
  <c r="W20" i="2" s="1"/>
  <c r="CV20" i="2"/>
  <c r="CY19" i="2"/>
  <c r="W19" i="2" s="1"/>
  <c r="CV19" i="2"/>
  <c r="CY18" i="2"/>
  <c r="W18" i="2" s="1"/>
  <c r="CV18" i="2"/>
  <c r="CY17" i="2"/>
  <c r="W17" i="2" s="1"/>
  <c r="CV17" i="2"/>
  <c r="CY16" i="2"/>
  <c r="W16" i="2" s="1"/>
  <c r="CV16" i="2"/>
  <c r="CY15" i="2"/>
  <c r="W15" i="2" s="1"/>
  <c r="CV15" i="2"/>
  <c r="CY14" i="2"/>
  <c r="W14" i="2" s="1"/>
  <c r="CV14" i="2"/>
  <c r="CY13" i="2"/>
  <c r="W13" i="2" s="1"/>
  <c r="CV13" i="2"/>
  <c r="U24" i="4" l="1"/>
  <c r="S23" i="4"/>
  <c r="S22" i="4"/>
  <c r="S26" i="4"/>
  <c r="S25" i="4"/>
  <c r="AJ19" i="2"/>
  <c r="C19" i="2" s="1"/>
  <c r="AJ18" i="2"/>
  <c r="C18" i="2" s="1"/>
  <c r="AJ16" i="2"/>
  <c r="C16" i="2" s="1"/>
  <c r="AJ14" i="2"/>
  <c r="C14" i="2" s="1"/>
  <c r="AJ15" i="2"/>
  <c r="C15" i="2" s="1"/>
  <c r="AJ13" i="2"/>
  <c r="C13" i="2" s="1"/>
  <c r="AJ20" i="2"/>
  <c r="C20" i="2" s="1"/>
  <c r="AJ32" i="2"/>
  <c r="W34" i="2"/>
  <c r="CE32" i="2"/>
  <c r="CW32" i="2" s="1"/>
  <c r="L34" i="2" s="1"/>
  <c r="CA32" i="2"/>
  <c r="BY32" i="2"/>
  <c r="CC32" i="2"/>
  <c r="AV32" i="2"/>
  <c r="CE20" i="2"/>
  <c r="CA20" i="2"/>
  <c r="BX20" i="2"/>
  <c r="BK20" i="2"/>
  <c r="BC20" i="2"/>
  <c r="BJ20" i="2"/>
  <c r="BB20" i="2"/>
  <c r="AU20" i="2"/>
  <c r="AT20" i="2"/>
  <c r="AK20" i="2"/>
  <c r="CE19" i="2"/>
  <c r="BY19" i="2"/>
  <c r="AU19" i="2"/>
  <c r="AT19" i="2"/>
  <c r="AK19" i="2"/>
  <c r="CE18" i="2"/>
  <c r="BY18" i="2"/>
  <c r="AT18" i="2"/>
  <c r="AK18" i="2"/>
  <c r="CE17" i="2"/>
  <c r="BY17" i="2"/>
  <c r="AU17" i="2"/>
  <c r="AT17" i="2"/>
  <c r="AK17" i="2"/>
  <c r="AD17" i="2"/>
  <c r="AJ17" i="2" s="1"/>
  <c r="C17" i="2" s="1"/>
  <c r="CE16" i="2"/>
  <c r="BY16" i="2"/>
  <c r="BJ16" i="2"/>
  <c r="BB16" i="2"/>
  <c r="AT16" i="2"/>
  <c r="AK16" i="2"/>
  <c r="AT15" i="2"/>
  <c r="AK15" i="2"/>
  <c r="BY14" i="2"/>
  <c r="BZ14" i="2" s="1"/>
  <c r="CE14" i="2"/>
  <c r="AT14" i="2"/>
  <c r="AK14" i="2"/>
  <c r="BB13" i="2"/>
  <c r="BJ13" i="2"/>
  <c r="AT13" i="2"/>
  <c r="BY13" i="2"/>
  <c r="BZ13" i="2" s="1"/>
  <c r="CE13" i="2"/>
  <c r="CC14" i="2"/>
  <c r="CI14" i="2" s="1"/>
  <c r="CC15" i="2"/>
  <c r="CI15" i="2" s="1"/>
  <c r="CC16" i="2"/>
  <c r="CI16" i="2" s="1"/>
  <c r="CC17" i="2"/>
  <c r="CI17" i="2" s="1"/>
  <c r="CC18" i="2"/>
  <c r="CI18" i="2" s="1"/>
  <c r="CC19" i="2"/>
  <c r="CI19" i="2" s="1"/>
  <c r="CC20" i="2"/>
  <c r="CI20" i="2" s="1"/>
  <c r="CC13" i="2"/>
  <c r="CI13" i="2" s="1"/>
  <c r="AK13" i="2"/>
  <c r="BJ15" i="2"/>
  <c r="BB15" i="2"/>
  <c r="BJ14" i="2"/>
  <c r="BB14" i="2"/>
  <c r="BL32" i="2"/>
  <c r="BM32" i="2" s="1"/>
  <c r="BD32" i="2"/>
  <c r="BE32" i="2" s="1"/>
  <c r="AW32" i="2" l="1"/>
  <c r="BT32" i="2" s="1"/>
  <c r="BS32" i="2"/>
  <c r="C32" i="2"/>
  <c r="I33" i="5"/>
  <c r="H33" i="5"/>
  <c r="S24" i="4"/>
  <c r="T26" i="4"/>
  <c r="T22" i="4"/>
  <c r="T25" i="4"/>
  <c r="T23" i="4"/>
  <c r="L37" i="2"/>
  <c r="BZ17" i="2"/>
  <c r="CF14" i="2"/>
  <c r="CX14" i="2" s="1"/>
  <c r="CW14" i="2"/>
  <c r="BY20" i="2"/>
  <c r="CF20" i="2"/>
  <c r="CX20" i="2" s="1"/>
  <c r="CW20" i="2"/>
  <c r="CF13" i="2"/>
  <c r="CX13" i="2" s="1"/>
  <c r="CW13" i="2"/>
  <c r="BZ19" i="2"/>
  <c r="CF19" i="2"/>
  <c r="CX19" i="2" s="1"/>
  <c r="CW19" i="2"/>
  <c r="CF17" i="2"/>
  <c r="CX17" i="2" s="1"/>
  <c r="CW17" i="2"/>
  <c r="BZ18" i="2"/>
  <c r="CF18" i="2"/>
  <c r="CX18" i="2" s="1"/>
  <c r="CW18" i="2"/>
  <c r="BZ16" i="2"/>
  <c r="CF16" i="2"/>
  <c r="CX16" i="2" s="1"/>
  <c r="CW16" i="2"/>
  <c r="CX15" i="2"/>
  <c r="CW15" i="2"/>
  <c r="CI32" i="2"/>
  <c r="BZ32" i="2"/>
  <c r="CF32" i="2"/>
  <c r="CX32" i="2" s="1"/>
  <c r="P34" i="2" s="1"/>
  <c r="BU14" i="2"/>
  <c r="U14" i="2" s="1"/>
  <c r="BU15" i="2"/>
  <c r="U15" i="2" s="1"/>
  <c r="BU16" i="2"/>
  <c r="U16" i="2" s="1"/>
  <c r="BU17" i="2"/>
  <c r="U17" i="2" s="1"/>
  <c r="BU18" i="2"/>
  <c r="U18" i="2" s="1"/>
  <c r="BU19" i="2"/>
  <c r="U19" i="2" s="1"/>
  <c r="BU20" i="2"/>
  <c r="U20" i="2" s="1"/>
  <c r="BU13" i="2"/>
  <c r="U13" i="2" s="1"/>
  <c r="BL13" i="2"/>
  <c r="BM13" i="2" s="1"/>
  <c r="BD13" i="2"/>
  <c r="BE13" i="2" s="1"/>
  <c r="AV13" i="2"/>
  <c r="BL20" i="2"/>
  <c r="BM20" i="2" s="1"/>
  <c r="BL19" i="2"/>
  <c r="BM19" i="2" s="1"/>
  <c r="BL18" i="2"/>
  <c r="BM18" i="2" s="1"/>
  <c r="BL17" i="2"/>
  <c r="BM17" i="2" s="1"/>
  <c r="BL16" i="2"/>
  <c r="BM16" i="2" s="1"/>
  <c r="BL15" i="2"/>
  <c r="BM15" i="2" s="1"/>
  <c r="BL14" i="2"/>
  <c r="BM14" i="2" s="1"/>
  <c r="BD20" i="2"/>
  <c r="BE20" i="2" s="1"/>
  <c r="BD19" i="2"/>
  <c r="BE19" i="2" s="1"/>
  <c r="BD18" i="2"/>
  <c r="BE18" i="2" s="1"/>
  <c r="BD17" i="2"/>
  <c r="BE17" i="2" s="1"/>
  <c r="BD16" i="2"/>
  <c r="BE16" i="2" s="1"/>
  <c r="BD15" i="2"/>
  <c r="BE15" i="2" s="1"/>
  <c r="BD14" i="2"/>
  <c r="BE14" i="2" s="1"/>
  <c r="AV14" i="2"/>
  <c r="AV15" i="2"/>
  <c r="AV16" i="2"/>
  <c r="AV17" i="2"/>
  <c r="AW17" i="2" s="1"/>
  <c r="AV18" i="2"/>
  <c r="AW18" i="2" s="1"/>
  <c r="AV19" i="2"/>
  <c r="AW19" i="2" s="1"/>
  <c r="AV20" i="2"/>
  <c r="AW20" i="2" s="1"/>
  <c r="BR14" i="2"/>
  <c r="BR15" i="2"/>
  <c r="BR16" i="2"/>
  <c r="BR17" i="2"/>
  <c r="BR18" i="2"/>
  <c r="BR19" i="2"/>
  <c r="BR20" i="2"/>
  <c r="BP14" i="2"/>
  <c r="BQ14" i="2"/>
  <c r="BP15" i="2"/>
  <c r="BQ15" i="2"/>
  <c r="BP16" i="2"/>
  <c r="BQ16" i="2"/>
  <c r="BP17" i="2"/>
  <c r="BQ17" i="2"/>
  <c r="BP18" i="2"/>
  <c r="BQ18" i="2"/>
  <c r="BP19" i="2"/>
  <c r="BQ19" i="2"/>
  <c r="BP20" i="2"/>
  <c r="BQ20" i="2"/>
  <c r="BR13" i="2"/>
  <c r="N34" i="2"/>
  <c r="J34" i="2"/>
  <c r="F34" i="2"/>
  <c r="BP13" i="2"/>
  <c r="AN19" i="2"/>
  <c r="AN17" i="2"/>
  <c r="AL20" i="2"/>
  <c r="AL15" i="2"/>
  <c r="AQ13" i="2"/>
  <c r="AQ14" i="2"/>
  <c r="AQ15" i="2"/>
  <c r="CQ15" i="2" s="1"/>
  <c r="AQ16" i="2"/>
  <c r="CQ16" i="2" s="1"/>
  <c r="AQ17" i="2"/>
  <c r="AQ18" i="2"/>
  <c r="CQ18" i="2" s="1"/>
  <c r="AQ19" i="2"/>
  <c r="CQ19" i="2" s="1"/>
  <c r="AQ20" i="2"/>
  <c r="CS20" i="2" s="1"/>
  <c r="V20" i="2" s="1"/>
  <c r="AQ32" i="2"/>
  <c r="CP32" i="2" s="1"/>
  <c r="AN13" i="2"/>
  <c r="CR15" i="2" l="1"/>
  <c r="T24" i="4"/>
  <c r="P37" i="2"/>
  <c r="U25" i="2"/>
  <c r="U24" i="2"/>
  <c r="U34" i="2"/>
  <c r="U32" i="2"/>
  <c r="CR19" i="2"/>
  <c r="CR32" i="2"/>
  <c r="O34" i="2" s="1"/>
  <c r="CR18" i="2"/>
  <c r="CQ32" i="2"/>
  <c r="K34" i="2" s="1"/>
  <c r="CP20" i="2"/>
  <c r="CS13" i="2"/>
  <c r="V13" i="2" s="1"/>
  <c r="CP13" i="2"/>
  <c r="CQ13" i="2"/>
  <c r="CS32" i="2"/>
  <c r="BZ20" i="2"/>
  <c r="CR20" i="2" s="1"/>
  <c r="CQ20" i="2"/>
  <c r="CS14" i="2"/>
  <c r="V14" i="2" s="1"/>
  <c r="CP14" i="2"/>
  <c r="CR14" i="2"/>
  <c r="CS18" i="2"/>
  <c r="V18" i="2" s="1"/>
  <c r="CP18" i="2"/>
  <c r="CR16" i="2"/>
  <c r="CP19" i="2"/>
  <c r="CS19" i="2"/>
  <c r="V19" i="2" s="1"/>
  <c r="CP17" i="2"/>
  <c r="CS17" i="2"/>
  <c r="V17" i="2" s="1"/>
  <c r="CP16" i="2"/>
  <c r="CS16" i="2"/>
  <c r="V16" i="2" s="1"/>
  <c r="CR13" i="2"/>
  <c r="CQ17" i="2"/>
  <c r="CP15" i="2"/>
  <c r="CS15" i="2"/>
  <c r="V15" i="2" s="1"/>
  <c r="CQ14" i="2"/>
  <c r="CR17" i="2"/>
  <c r="G34" i="2"/>
  <c r="R32" i="2"/>
  <c r="S32" i="2"/>
  <c r="H34" i="2"/>
  <c r="AW16" i="2"/>
  <c r="AW15" i="2"/>
  <c r="AW14" i="2"/>
  <c r="BT14" i="2" s="1"/>
  <c r="AW13" i="2"/>
  <c r="BS13" i="2"/>
  <c r="BQ13" i="2"/>
  <c r="BS20" i="2"/>
  <c r="BS16" i="2"/>
  <c r="BS14" i="2"/>
  <c r="BS19" i="2"/>
  <c r="R19" i="2" s="1"/>
  <c r="BT20" i="2"/>
  <c r="BS15" i="2"/>
  <c r="BS18" i="2"/>
  <c r="BT19" i="2"/>
  <c r="BT18" i="2"/>
  <c r="BT17" i="2"/>
  <c r="BS17" i="2"/>
  <c r="R17" i="2" s="1"/>
  <c r="AO20" i="2"/>
  <c r="B20" i="2"/>
  <c r="AO18" i="2"/>
  <c r="B18" i="2"/>
  <c r="AO17" i="2"/>
  <c r="B17" i="2"/>
  <c r="AO19" i="2"/>
  <c r="B19" i="2"/>
  <c r="U28" i="2" l="1"/>
  <c r="U43" i="2" s="1"/>
  <c r="U47" i="2" s="1"/>
  <c r="S8" i="5" s="1"/>
  <c r="M26" i="4"/>
  <c r="L25" i="4"/>
  <c r="L34" i="4" s="1"/>
  <c r="L40" i="4" s="1"/>
  <c r="L44" i="4" s="1"/>
  <c r="U14" i="5" s="1"/>
  <c r="K26" i="4"/>
  <c r="M23" i="4"/>
  <c r="M32" i="4" s="1"/>
  <c r="M38" i="4" s="1"/>
  <c r="M42" i="4" s="1"/>
  <c r="M22" i="4"/>
  <c r="M25" i="4"/>
  <c r="M34" i="4" s="1"/>
  <c r="M40" i="4" s="1"/>
  <c r="M44" i="4" s="1"/>
  <c r="U15" i="5" s="1"/>
  <c r="K23" i="4"/>
  <c r="K32" i="4" s="1"/>
  <c r="K38" i="4" s="1"/>
  <c r="K42" i="4" s="1"/>
  <c r="K22" i="4"/>
  <c r="Q23" i="4"/>
  <c r="Q38" i="4" s="1"/>
  <c r="Q42" i="4" s="1"/>
  <c r="K25" i="4"/>
  <c r="K34" i="4" s="1"/>
  <c r="K40" i="4" s="1"/>
  <c r="K44" i="4" s="1"/>
  <c r="U13" i="5" s="1"/>
  <c r="L22" i="4"/>
  <c r="O23" i="4"/>
  <c r="L23" i="4"/>
  <c r="L32" i="4" s="1"/>
  <c r="L38" i="4" s="1"/>
  <c r="L42" i="4" s="1"/>
  <c r="L26" i="4"/>
  <c r="Q26" i="4"/>
  <c r="O26" i="4"/>
  <c r="O22" i="4"/>
  <c r="Q25" i="4"/>
  <c r="Q40" i="4" s="1"/>
  <c r="Q44" i="4" s="1"/>
  <c r="U16" i="5" s="1"/>
  <c r="O25" i="4"/>
  <c r="Q22" i="4"/>
  <c r="H37" i="2"/>
  <c r="V25" i="2"/>
  <c r="V24" i="2"/>
  <c r="V34" i="2"/>
  <c r="V32" i="2"/>
  <c r="BT16" i="2"/>
  <c r="BT15" i="2"/>
  <c r="S19" i="2"/>
  <c r="S18" i="2"/>
  <c r="R18" i="2"/>
  <c r="S17" i="2"/>
  <c r="R20" i="2"/>
  <c r="S20" i="2"/>
  <c r="R16" i="2"/>
  <c r="S16" i="2"/>
  <c r="BT13" i="2"/>
  <c r="R15" i="2"/>
  <c r="S15" i="2"/>
  <c r="R14" i="2"/>
  <c r="S14" i="2"/>
  <c r="D20" i="2"/>
  <c r="D19" i="2"/>
  <c r="D18" i="2"/>
  <c r="D17" i="2"/>
  <c r="V28" i="2" l="1"/>
  <c r="V43" i="2" s="1"/>
  <c r="V47" i="2" s="1"/>
  <c r="T8" i="5" s="1"/>
  <c r="T26" i="5"/>
  <c r="S26" i="5" s="1"/>
  <c r="U26" i="5"/>
  <c r="V26" i="5" s="1"/>
  <c r="K24" i="4"/>
  <c r="K33" i="4" s="1"/>
  <c r="K39" i="4" s="1"/>
  <c r="K43" i="4" s="1"/>
  <c r="S13" i="5" s="1"/>
  <c r="L24" i="4"/>
  <c r="L33" i="4" s="1"/>
  <c r="L39" i="4" s="1"/>
  <c r="L43" i="4" s="1"/>
  <c r="S14" i="5" s="1"/>
  <c r="M24" i="4"/>
  <c r="M33" i="4" s="1"/>
  <c r="M39" i="4" s="1"/>
  <c r="M43" i="4" s="1"/>
  <c r="S15" i="5" s="1"/>
  <c r="Q24" i="4"/>
  <c r="Q39" i="4" s="1"/>
  <c r="Q43" i="4" s="1"/>
  <c r="S16" i="5" s="1"/>
  <c r="O24" i="4"/>
  <c r="H17" i="2"/>
  <c r="N17" i="2"/>
  <c r="O17" i="2"/>
  <c r="P17" i="2"/>
  <c r="J17" i="2"/>
  <c r="K17" i="2"/>
  <c r="L17" i="2"/>
  <c r="H18" i="2"/>
  <c r="K18" i="2"/>
  <c r="O18" i="2"/>
  <c r="L18" i="2"/>
  <c r="N18" i="2"/>
  <c r="P18" i="2"/>
  <c r="J18" i="2"/>
  <c r="H19" i="2"/>
  <c r="P19" i="2"/>
  <c r="J19" i="2"/>
  <c r="L19" i="2"/>
  <c r="O19" i="2"/>
  <c r="K19" i="2"/>
  <c r="N19" i="2"/>
  <c r="H20" i="2"/>
  <c r="O20" i="2"/>
  <c r="N20" i="2"/>
  <c r="J20" i="2"/>
  <c r="K20" i="2"/>
  <c r="L20" i="2"/>
  <c r="P20" i="2"/>
  <c r="F20" i="2"/>
  <c r="G20" i="2"/>
  <c r="G19" i="2"/>
  <c r="F19" i="2"/>
  <c r="G18" i="2"/>
  <c r="F18" i="2"/>
  <c r="G17" i="2"/>
  <c r="F17" i="2"/>
  <c r="B14" i="2"/>
  <c r="B15" i="2"/>
  <c r="B16" i="2"/>
  <c r="B13" i="2"/>
  <c r="AO32" i="2"/>
  <c r="S13" i="2"/>
  <c r="R13" i="2"/>
  <c r="AO13" i="2"/>
  <c r="AO14" i="2"/>
  <c r="AO15" i="2"/>
  <c r="AO16" i="2"/>
  <c r="V26" i="2"/>
  <c r="V44" i="2" s="1"/>
  <c r="V48" i="2" s="1"/>
  <c r="V8" i="5" s="1"/>
  <c r="U26" i="2"/>
  <c r="U44" i="2" s="1"/>
  <c r="U48" i="2" s="1"/>
  <c r="U8" i="5" s="1"/>
  <c r="V27" i="2"/>
  <c r="V42" i="2" s="1"/>
  <c r="V46" i="2" s="1"/>
  <c r="U27" i="2"/>
  <c r="U42" i="2" s="1"/>
  <c r="U46" i="2" s="1"/>
  <c r="H34" i="5" l="1"/>
  <c r="I34" i="5"/>
  <c r="U25" i="5"/>
  <c r="V25" i="5" s="1"/>
  <c r="T25" i="5"/>
  <c r="S25" i="5" s="1"/>
  <c r="K40" i="2"/>
  <c r="F40" i="2"/>
  <c r="L40" i="2"/>
  <c r="L43" i="2" s="1"/>
  <c r="H40" i="2"/>
  <c r="H43" i="2" s="1"/>
  <c r="N40" i="2"/>
  <c r="J40" i="2"/>
  <c r="O40" i="2"/>
  <c r="G40" i="2"/>
  <c r="R24" i="2"/>
  <c r="R25" i="2"/>
  <c r="S24" i="2"/>
  <c r="S25" i="2"/>
  <c r="R27" i="2"/>
  <c r="D16" i="2"/>
  <c r="S26" i="2"/>
  <c r="D32" i="2"/>
  <c r="D14" i="2"/>
  <c r="D13" i="2"/>
  <c r="K13" i="2" s="1"/>
  <c r="D15" i="2"/>
  <c r="S27" i="2"/>
  <c r="R26" i="2"/>
  <c r="S28" i="2" l="1"/>
  <c r="R28" i="2"/>
  <c r="H16" i="2"/>
  <c r="J16" i="2"/>
  <c r="L16" i="2"/>
  <c r="K16" i="2"/>
  <c r="N16" i="2"/>
  <c r="P16" i="2"/>
  <c r="O16" i="2"/>
  <c r="H14" i="2"/>
  <c r="K14" i="2"/>
  <c r="P14" i="2"/>
  <c r="J14" i="2"/>
  <c r="L14" i="2"/>
  <c r="N14" i="2"/>
  <c r="O14" i="2"/>
  <c r="H15" i="2"/>
  <c r="K15" i="2"/>
  <c r="N15" i="2"/>
  <c r="P15" i="2"/>
  <c r="J15" i="2"/>
  <c r="L15" i="2"/>
  <c r="O15" i="2"/>
  <c r="H13" i="2"/>
  <c r="O13" i="2"/>
  <c r="N13" i="2"/>
  <c r="P13" i="2"/>
  <c r="J13" i="2"/>
  <c r="L13" i="2"/>
  <c r="H32" i="2"/>
  <c r="P32" i="2"/>
  <c r="O32" i="2"/>
  <c r="J32" i="2"/>
  <c r="N32" i="2"/>
  <c r="K32" i="2"/>
  <c r="L32" i="2"/>
  <c r="G32" i="2"/>
  <c r="F32" i="2"/>
  <c r="F16" i="2"/>
  <c r="G16" i="2"/>
  <c r="G15" i="2"/>
  <c r="F15" i="2"/>
  <c r="F14" i="2"/>
  <c r="G14" i="2"/>
  <c r="G13" i="2"/>
  <c r="F13" i="2"/>
  <c r="J84" i="1"/>
  <c r="J85" i="1" s="1"/>
  <c r="C84" i="1"/>
  <c r="C85" i="1" s="1"/>
  <c r="J82" i="1"/>
  <c r="J81" i="1" s="1"/>
  <c r="C82" i="1"/>
  <c r="C81" i="1" s="1"/>
  <c r="N80" i="1"/>
  <c r="O80" i="1" s="1"/>
  <c r="G80" i="1"/>
  <c r="H80" i="1" s="1"/>
  <c r="E80" i="1"/>
  <c r="D80" i="1" s="1"/>
  <c r="J74" i="1"/>
  <c r="J75" i="1" s="1"/>
  <c r="C74" i="1"/>
  <c r="C75" i="1" s="1"/>
  <c r="J72" i="1"/>
  <c r="J71" i="1" s="1"/>
  <c r="C72" i="1"/>
  <c r="C71" i="1" s="1"/>
  <c r="N70" i="1"/>
  <c r="O70" i="1" s="1"/>
  <c r="L70" i="1"/>
  <c r="K70" i="1" s="1"/>
  <c r="G70" i="1"/>
  <c r="H70" i="1" s="1"/>
  <c r="E70" i="1"/>
  <c r="D70" i="1" s="1"/>
  <c r="E165" i="1"/>
  <c r="F165" i="1" s="1"/>
  <c r="C170" i="1"/>
  <c r="E169" i="1"/>
  <c r="F169" i="1" s="1"/>
  <c r="E168" i="1"/>
  <c r="F168" i="1" s="1"/>
  <c r="E167" i="1"/>
  <c r="F167" i="1" s="1"/>
  <c r="E166" i="1"/>
  <c r="F166" i="1" s="1"/>
  <c r="F143" i="1"/>
  <c r="G155" i="1"/>
  <c r="G156" i="1" s="1"/>
  <c r="G153" i="1"/>
  <c r="G152" i="1" s="1"/>
  <c r="K151" i="1"/>
  <c r="L151" i="1" s="1"/>
  <c r="I151" i="1"/>
  <c r="H151" i="1" s="1"/>
  <c r="K147" i="1"/>
  <c r="G141" i="1"/>
  <c r="G140" i="1"/>
  <c r="J138" i="1"/>
  <c r="L138" i="1" s="1"/>
  <c r="J137" i="1"/>
  <c r="L137" i="1" s="1"/>
  <c r="J136" i="1"/>
  <c r="L136" i="1" s="1"/>
  <c r="J135" i="1"/>
  <c r="L135" i="1" s="1"/>
  <c r="J134" i="1"/>
  <c r="L134" i="1" s="1"/>
  <c r="D146" i="1"/>
  <c r="D140" i="1"/>
  <c r="J147" i="1" s="1"/>
  <c r="I11" i="1"/>
  <c r="H97" i="1"/>
  <c r="E93" i="1"/>
  <c r="F93" i="1"/>
  <c r="G93" i="1"/>
  <c r="H93" i="1"/>
  <c r="D93" i="1"/>
  <c r="O42" i="1"/>
  <c r="H10" i="1"/>
  <c r="J49" i="1" s="1"/>
  <c r="J64" i="1"/>
  <c r="J65" i="1" s="1"/>
  <c r="C64" i="1"/>
  <c r="C65" i="1" s="1"/>
  <c r="J62" i="1"/>
  <c r="J61" i="1" s="1"/>
  <c r="C61" i="1"/>
  <c r="N60" i="1"/>
  <c r="O60" i="1" s="1"/>
  <c r="L60" i="1"/>
  <c r="K60" i="1" s="1"/>
  <c r="G60" i="1"/>
  <c r="H60" i="1" s="1"/>
  <c r="E60" i="1"/>
  <c r="D60" i="1" s="1"/>
  <c r="L48" i="1"/>
  <c r="D107" i="1"/>
  <c r="E107" i="1"/>
  <c r="F107" i="1"/>
  <c r="D108" i="1"/>
  <c r="E108" i="1"/>
  <c r="F108" i="1"/>
  <c r="G108" i="1"/>
  <c r="C108" i="1"/>
  <c r="C107" i="1"/>
  <c r="D103" i="1"/>
  <c r="E103" i="1"/>
  <c r="F103" i="1"/>
  <c r="G103" i="1"/>
  <c r="C103" i="1"/>
  <c r="D101" i="1"/>
  <c r="E101" i="1"/>
  <c r="F101" i="1"/>
  <c r="G101" i="1"/>
  <c r="C101" i="1"/>
  <c r="J11" i="1" l="1"/>
  <c r="J113" i="1" s="1"/>
  <c r="I13" i="1"/>
  <c r="I20" i="1"/>
  <c r="I28" i="1" s="1"/>
  <c r="I16" i="1"/>
  <c r="G10" i="1"/>
  <c r="F10" i="1" s="1"/>
  <c r="E10" i="1" s="1"/>
  <c r="D10" i="1" s="1"/>
  <c r="C10" i="1" s="1"/>
  <c r="C92" i="1" s="1"/>
  <c r="I10" i="1"/>
  <c r="I111" i="1"/>
  <c r="I118" i="1"/>
  <c r="J25" i="2"/>
  <c r="J24" i="2"/>
  <c r="N24" i="2"/>
  <c r="N25" i="2"/>
  <c r="F25" i="2"/>
  <c r="F24" i="2"/>
  <c r="G24" i="2"/>
  <c r="G25" i="2"/>
  <c r="K25" i="2"/>
  <c r="K24" i="2"/>
  <c r="O25" i="2"/>
  <c r="O24" i="2"/>
  <c r="H36" i="2"/>
  <c r="H42" i="2" s="1"/>
  <c r="H38" i="2"/>
  <c r="H44" i="2" s="1"/>
  <c r="L36" i="2"/>
  <c r="L42" i="2" s="1"/>
  <c r="L38" i="2"/>
  <c r="L44" i="2" s="1"/>
  <c r="P38" i="2"/>
  <c r="P36" i="2"/>
  <c r="F27" i="2"/>
  <c r="F36" i="2" s="1"/>
  <c r="F42" i="2" s="1"/>
  <c r="F46" i="2" s="1"/>
  <c r="G26" i="2"/>
  <c r="G38" i="2" s="1"/>
  <c r="G44" i="2" s="1"/>
  <c r="G48" i="2" s="1"/>
  <c r="V5" i="5" s="1"/>
  <c r="O26" i="2"/>
  <c r="O38" i="2" s="1"/>
  <c r="O44" i="2" s="1"/>
  <c r="O48" i="2" s="1"/>
  <c r="V7" i="5" s="1"/>
  <c r="O27" i="2"/>
  <c r="O36" i="2" s="1"/>
  <c r="O42" i="2" s="1"/>
  <c r="O46" i="2" s="1"/>
  <c r="F26" i="2"/>
  <c r="F38" i="2" s="1"/>
  <c r="F44" i="2" s="1"/>
  <c r="F48" i="2" s="1"/>
  <c r="U5" i="5" s="1"/>
  <c r="J27" i="2"/>
  <c r="J36" i="2" s="1"/>
  <c r="J42" i="2" s="1"/>
  <c r="J46" i="2" s="1"/>
  <c r="J26" i="2"/>
  <c r="J38" i="2" s="1"/>
  <c r="J44" i="2" s="1"/>
  <c r="J48" i="2" s="1"/>
  <c r="U6" i="5" s="1"/>
  <c r="G27" i="2"/>
  <c r="G36" i="2" s="1"/>
  <c r="G42" i="2" s="1"/>
  <c r="G46" i="2" s="1"/>
  <c r="N26" i="2"/>
  <c r="N38" i="2" s="1"/>
  <c r="N44" i="2" s="1"/>
  <c r="N48" i="2" s="1"/>
  <c r="U7" i="5" s="1"/>
  <c r="N27" i="2"/>
  <c r="N36" i="2" s="1"/>
  <c r="N42" i="2" s="1"/>
  <c r="N46" i="2" s="1"/>
  <c r="K27" i="2"/>
  <c r="K36" i="2" s="1"/>
  <c r="K42" i="2" s="1"/>
  <c r="K46" i="2" s="1"/>
  <c r="K26" i="2"/>
  <c r="K38" i="2" s="1"/>
  <c r="K44" i="2" s="1"/>
  <c r="K48" i="2" s="1"/>
  <c r="V6" i="5" s="1"/>
  <c r="F170" i="1"/>
  <c r="F174" i="1" s="1"/>
  <c r="I113" i="1"/>
  <c r="H92" i="1"/>
  <c r="E170" i="1"/>
  <c r="F173" i="1" s="1"/>
  <c r="J141" i="1"/>
  <c r="L140" i="1"/>
  <c r="I147" i="1" s="1"/>
  <c r="L147" i="1" s="1"/>
  <c r="L141" i="1"/>
  <c r="J140" i="1"/>
  <c r="I29" i="1"/>
  <c r="H114" i="1"/>
  <c r="I119" i="1"/>
  <c r="H120" i="1"/>
  <c r="F120" i="1"/>
  <c r="E120" i="1"/>
  <c r="D120" i="1"/>
  <c r="C120" i="1"/>
  <c r="D114" i="1"/>
  <c r="E114" i="1"/>
  <c r="F114" i="1"/>
  <c r="G114" i="1"/>
  <c r="C114" i="1"/>
  <c r="G97" i="1"/>
  <c r="F97" i="1"/>
  <c r="E97" i="1"/>
  <c r="D97" i="1"/>
  <c r="C97" i="1"/>
  <c r="D15" i="1"/>
  <c r="E15" i="1"/>
  <c r="F15" i="1"/>
  <c r="E12" i="1"/>
  <c r="F12" i="1"/>
  <c r="G12" i="1"/>
  <c r="H12" i="1"/>
  <c r="I12" i="1"/>
  <c r="D12" i="1"/>
  <c r="I35" i="1" l="1"/>
  <c r="I36" i="1" s="1"/>
  <c r="J29" i="1"/>
  <c r="J118" i="1"/>
  <c r="K11" i="1"/>
  <c r="K12" i="1" s="1"/>
  <c r="J111" i="1"/>
  <c r="I14" i="1"/>
  <c r="I15" i="1" s="1"/>
  <c r="I117" i="1"/>
  <c r="I120" i="1" s="1"/>
  <c r="I112" i="1"/>
  <c r="I114" i="1" s="1"/>
  <c r="J12" i="1"/>
  <c r="J10" i="1"/>
  <c r="J35" i="1" s="1"/>
  <c r="J36" i="1" s="1"/>
  <c r="K13" i="1"/>
  <c r="J119" i="1"/>
  <c r="J13" i="1"/>
  <c r="J20" i="1"/>
  <c r="J28" i="1" s="1"/>
  <c r="J16" i="1"/>
  <c r="G92" i="1"/>
  <c r="F92" i="1"/>
  <c r="D92" i="1"/>
  <c r="E92" i="1"/>
  <c r="I92" i="1"/>
  <c r="U24" i="5"/>
  <c r="V24" i="5" s="1"/>
  <c r="T24" i="5"/>
  <c r="S24" i="5" s="1"/>
  <c r="H15" i="1"/>
  <c r="O28" i="2"/>
  <c r="O37" i="2" s="1"/>
  <c r="O43" i="2" s="1"/>
  <c r="O47" i="2" s="1"/>
  <c r="T7" i="5" s="1"/>
  <c r="K28" i="2"/>
  <c r="K37" i="2" s="1"/>
  <c r="K43" i="2" s="1"/>
  <c r="K47" i="2" s="1"/>
  <c r="T6" i="5" s="1"/>
  <c r="J28" i="2"/>
  <c r="J37" i="2" s="1"/>
  <c r="J43" i="2" s="1"/>
  <c r="J47" i="2" s="1"/>
  <c r="S6" i="5" s="1"/>
  <c r="F28" i="2"/>
  <c r="F37" i="2" s="1"/>
  <c r="F43" i="2" s="1"/>
  <c r="F47" i="2" s="1"/>
  <c r="S5" i="5" s="1"/>
  <c r="G28" i="2"/>
  <c r="G37" i="2" s="1"/>
  <c r="G43" i="2" s="1"/>
  <c r="G47" i="2" s="1"/>
  <c r="T5" i="5" s="1"/>
  <c r="N28" i="2"/>
  <c r="N37" i="2" s="1"/>
  <c r="N43" i="2" s="1"/>
  <c r="N47" i="2" s="1"/>
  <c r="S7" i="5" s="1"/>
  <c r="D152" i="1"/>
  <c r="D154" i="1" s="1"/>
  <c r="D157" i="1" s="1"/>
  <c r="G151" i="1" s="1"/>
  <c r="H122" i="1"/>
  <c r="K113" i="1"/>
  <c r="K111" i="1"/>
  <c r="L11" i="1"/>
  <c r="G15" i="1"/>
  <c r="C15" i="1"/>
  <c r="F122" i="1"/>
  <c r="F123" i="1" s="1"/>
  <c r="E122" i="1"/>
  <c r="E123" i="1" s="1"/>
  <c r="D122" i="1"/>
  <c r="G120" i="1"/>
  <c r="G122" i="1" s="1"/>
  <c r="G107" i="1"/>
  <c r="C122" i="1"/>
  <c r="C18" i="1"/>
  <c r="K16" i="1" l="1"/>
  <c r="K20" i="1"/>
  <c r="K28" i="1" s="1"/>
  <c r="I17" i="1"/>
  <c r="K29" i="1"/>
  <c r="K119" i="1"/>
  <c r="K118" i="1"/>
  <c r="J92" i="1"/>
  <c r="I21" i="1"/>
  <c r="I23" i="1" s="1"/>
  <c r="I24" i="1" s="1"/>
  <c r="I26" i="1" s="1"/>
  <c r="I19" i="1"/>
  <c r="J14" i="1"/>
  <c r="J15" i="1" s="1"/>
  <c r="J117" i="1"/>
  <c r="J120" i="1" s="1"/>
  <c r="J112" i="1"/>
  <c r="J114" i="1" s="1"/>
  <c r="K14" i="1"/>
  <c r="K17" i="1" s="1"/>
  <c r="K117" i="1"/>
  <c r="K112" i="1"/>
  <c r="K114" i="1" s="1"/>
  <c r="C123" i="1"/>
  <c r="C124" i="1"/>
  <c r="K10" i="1"/>
  <c r="K35" i="1" s="1"/>
  <c r="K36" i="1" s="1"/>
  <c r="L20" i="1"/>
  <c r="L28" i="1" s="1"/>
  <c r="L13" i="1"/>
  <c r="L16" i="1"/>
  <c r="C25" i="1"/>
  <c r="U23" i="5"/>
  <c r="V23" i="5" s="1"/>
  <c r="T23" i="5"/>
  <c r="S23" i="5" s="1"/>
  <c r="I122" i="1"/>
  <c r="I123" i="1" s="1"/>
  <c r="D124" i="1"/>
  <c r="D123" i="1"/>
  <c r="L119" i="1"/>
  <c r="L118" i="1"/>
  <c r="L29" i="1"/>
  <c r="G124" i="1"/>
  <c r="G123" i="1"/>
  <c r="O49" i="1"/>
  <c r="H124" i="1"/>
  <c r="H123" i="1"/>
  <c r="L113" i="1"/>
  <c r="M11" i="1"/>
  <c r="L111" i="1"/>
  <c r="L12" i="1"/>
  <c r="E124" i="1"/>
  <c r="F124" i="1"/>
  <c r="E18" i="1"/>
  <c r="G18" i="1"/>
  <c r="F18" i="1"/>
  <c r="D18" i="1"/>
  <c r="C30" i="1" l="1"/>
  <c r="C31" i="1" s="1"/>
  <c r="C125" i="1"/>
  <c r="I22" i="1"/>
  <c r="D30" i="1"/>
  <c r="D125" i="1"/>
  <c r="F30" i="1"/>
  <c r="F125" i="1"/>
  <c r="H30" i="1"/>
  <c r="H125" i="1"/>
  <c r="K120" i="1"/>
  <c r="K122" i="1" s="1"/>
  <c r="K123" i="1" s="1"/>
  <c r="G30" i="1"/>
  <c r="G125" i="1"/>
  <c r="E30" i="1"/>
  <c r="E125" i="1"/>
  <c r="J17" i="1"/>
  <c r="J19" i="1" s="1"/>
  <c r="K21" i="1"/>
  <c r="K22" i="1" s="1"/>
  <c r="K19" i="1"/>
  <c r="J122" i="1"/>
  <c r="J123" i="1" s="1"/>
  <c r="K23" i="1"/>
  <c r="K24" i="1" s="1"/>
  <c r="K18" i="1"/>
  <c r="L14" i="1"/>
  <c r="L17" i="1" s="1"/>
  <c r="L117" i="1"/>
  <c r="L120" i="1" s="1"/>
  <c r="L112" i="1"/>
  <c r="L114" i="1" s="1"/>
  <c r="L10" i="1"/>
  <c r="L35" i="1" s="1"/>
  <c r="L36" i="1" s="1"/>
  <c r="K92" i="1"/>
  <c r="M20" i="1"/>
  <c r="M28" i="1" s="1"/>
  <c r="M13" i="1"/>
  <c r="M14" i="1" s="1"/>
  <c r="M16" i="1"/>
  <c r="J21" i="1"/>
  <c r="E25" i="1"/>
  <c r="E31" i="1"/>
  <c r="I124" i="1"/>
  <c r="I18" i="1"/>
  <c r="K15" i="1"/>
  <c r="H18" i="1"/>
  <c r="M119" i="1"/>
  <c r="M118" i="1"/>
  <c r="M29" i="1"/>
  <c r="I25" i="1"/>
  <c r="M111" i="1"/>
  <c r="N11" i="1"/>
  <c r="N12" i="1" s="1"/>
  <c r="M113" i="1"/>
  <c r="M12" i="1"/>
  <c r="I30" i="1" l="1"/>
  <c r="I125" i="1"/>
  <c r="J18" i="1"/>
  <c r="J124" i="1"/>
  <c r="L21" i="1"/>
  <c r="L23" i="1" s="1"/>
  <c r="L24" i="1" s="1"/>
  <c r="L26" i="1" s="1"/>
  <c r="L19" i="1"/>
  <c r="J23" i="1"/>
  <c r="J24" i="1" s="1"/>
  <c r="M117" i="1"/>
  <c r="M120" i="1" s="1"/>
  <c r="M112" i="1"/>
  <c r="M114" i="1" s="1"/>
  <c r="L22" i="1"/>
  <c r="M10" i="1"/>
  <c r="M35" i="1" s="1"/>
  <c r="M36" i="1" s="1"/>
  <c r="L92" i="1"/>
  <c r="J22" i="1"/>
  <c r="M17" i="1"/>
  <c r="N20" i="1"/>
  <c r="N28" i="1" s="1"/>
  <c r="N13" i="1"/>
  <c r="N16" i="1"/>
  <c r="G25" i="1"/>
  <c r="G31" i="1"/>
  <c r="F25" i="1"/>
  <c r="F31" i="1"/>
  <c r="F32" i="1" s="1"/>
  <c r="D25" i="1"/>
  <c r="D31" i="1"/>
  <c r="D32" i="1" s="1"/>
  <c r="K124" i="1"/>
  <c r="K25" i="1"/>
  <c r="I31" i="1"/>
  <c r="L122" i="1"/>
  <c r="L124" i="1" s="1"/>
  <c r="M15" i="1"/>
  <c r="N118" i="1"/>
  <c r="N119" i="1"/>
  <c r="N29" i="1"/>
  <c r="L15" i="1"/>
  <c r="O11" i="1"/>
  <c r="N113" i="1"/>
  <c r="N111" i="1"/>
  <c r="L18" i="1"/>
  <c r="L30" i="1" l="1"/>
  <c r="L125" i="1"/>
  <c r="K30" i="1"/>
  <c r="K31" i="1" s="1"/>
  <c r="K125" i="1"/>
  <c r="J30" i="1"/>
  <c r="J31" i="1" s="1"/>
  <c r="J125" i="1"/>
  <c r="M21" i="1"/>
  <c r="M23" i="1" s="1"/>
  <c r="M24" i="1" s="1"/>
  <c r="M26" i="1" s="1"/>
  <c r="M19" i="1"/>
  <c r="J25" i="1"/>
  <c r="J26" i="1"/>
  <c r="K26" i="1"/>
  <c r="G32" i="1"/>
  <c r="I37" i="1"/>
  <c r="E32" i="1"/>
  <c r="N14" i="1"/>
  <c r="N17" i="1" s="1"/>
  <c r="N112" i="1"/>
  <c r="N114" i="1" s="1"/>
  <c r="N117" i="1"/>
  <c r="N120" i="1" s="1"/>
  <c r="N10" i="1"/>
  <c r="B46" i="1" s="1"/>
  <c r="M92" i="1"/>
  <c r="O20" i="1"/>
  <c r="O28" i="1" s="1"/>
  <c r="O16" i="1"/>
  <c r="O13" i="1"/>
  <c r="M18" i="1"/>
  <c r="H25" i="1"/>
  <c r="H31" i="1"/>
  <c r="H32" i="1" s="1"/>
  <c r="L123" i="1"/>
  <c r="M122" i="1"/>
  <c r="M124" i="1" s="1"/>
  <c r="O119" i="1"/>
  <c r="O118" i="1"/>
  <c r="O29" i="1"/>
  <c r="O111" i="1"/>
  <c r="O113" i="1"/>
  <c r="O12" i="1"/>
  <c r="M30" i="1" l="1"/>
  <c r="M125" i="1"/>
  <c r="M22" i="1"/>
  <c r="I32" i="1"/>
  <c r="N35" i="1"/>
  <c r="L43" i="1"/>
  <c r="B43" i="1"/>
  <c r="N21" i="1"/>
  <c r="N23" i="1" s="1"/>
  <c r="N24" i="1" s="1"/>
  <c r="N26" i="1" s="1"/>
  <c r="N19" i="1"/>
  <c r="N36" i="1"/>
  <c r="E47" i="1" s="1"/>
  <c r="J37" i="1"/>
  <c r="J32" i="1"/>
  <c r="K37" i="1"/>
  <c r="K32" i="1"/>
  <c r="O14" i="1"/>
  <c r="O17" i="1" s="1"/>
  <c r="O112" i="1"/>
  <c r="O114" i="1" s="1"/>
  <c r="O117" i="1"/>
  <c r="O120" i="1" s="1"/>
  <c r="O10" i="1"/>
  <c r="N92" i="1"/>
  <c r="M123" i="1"/>
  <c r="N15" i="1"/>
  <c r="N122" i="1"/>
  <c r="N123" i="1" s="1"/>
  <c r="N18" i="1"/>
  <c r="L25" i="1"/>
  <c r="L31" i="1"/>
  <c r="N22" i="1" l="1"/>
  <c r="B44" i="1"/>
  <c r="L41" i="1"/>
  <c r="O21" i="1"/>
  <c r="O23" i="1" s="1"/>
  <c r="O24" i="1" s="1"/>
  <c r="O26" i="1" s="1"/>
  <c r="O19" i="1"/>
  <c r="L37" i="1"/>
  <c r="L32" i="1"/>
  <c r="O15" i="1"/>
  <c r="O92" i="1"/>
  <c r="M31" i="1"/>
  <c r="O122" i="1"/>
  <c r="O124" i="1" s="1"/>
  <c r="E44" i="1"/>
  <c r="E46" i="1" s="1"/>
  <c r="N33" i="1" s="1"/>
  <c r="N38" i="1" s="1"/>
  <c r="N124" i="1"/>
  <c r="O30" i="1" l="1"/>
  <c r="O125" i="1"/>
  <c r="N30" i="1"/>
  <c r="N125" i="1"/>
  <c r="O22" i="1"/>
  <c r="M37" i="1"/>
  <c r="M32" i="1"/>
  <c r="E48" i="1"/>
  <c r="M25" i="1"/>
  <c r="O18" i="1"/>
  <c r="O123" i="1"/>
  <c r="O43" i="1"/>
  <c r="N25" i="1"/>
  <c r="N31" i="1"/>
  <c r="N37" i="1" l="1"/>
  <c r="E41" i="1" s="1"/>
  <c r="N32" i="1"/>
  <c r="O25" i="1"/>
  <c r="O31" i="1" l="1"/>
  <c r="O32" i="1" s="1"/>
  <c r="O33" i="1" s="1"/>
  <c r="E50" i="1" l="1"/>
  <c r="E51" i="1" s="1"/>
  <c r="C60" i="1" s="1"/>
  <c r="O41" i="1"/>
  <c r="O45" i="1" s="1"/>
  <c r="C80" i="1" s="1"/>
  <c r="O48" i="1" l="1"/>
  <c r="O50" i="1" s="1"/>
  <c r="J80" i="1" s="1"/>
  <c r="E49" i="1"/>
  <c r="J41" i="1"/>
  <c r="J47" i="1" s="1"/>
  <c r="F175" i="1"/>
  <c r="F177" i="1" s="1"/>
  <c r="J51" i="1" s="1"/>
  <c r="J50" i="1" l="1"/>
  <c r="C70" i="1"/>
  <c r="J60" i="1" l="1"/>
  <c r="J52" i="1"/>
  <c r="J70" i="1" s="1"/>
  <c r="C52" i="7"/>
  <c r="F52" i="7"/>
  <c r="H52" i="7"/>
  <c r="G52" i="7"/>
  <c r="E52" i="7"/>
  <c r="D52" i="7"/>
  <c r="F27" i="8" l="1"/>
  <c r="F42" i="8"/>
  <c r="G46" i="8"/>
  <c r="G31" i="8"/>
  <c r="E31" i="8"/>
  <c r="D27" i="8"/>
  <c r="D42" i="8"/>
  <c r="E46" i="8"/>
  <c r="E27" i="8"/>
  <c r="E34" i="8" s="1"/>
  <c r="E42" i="8"/>
  <c r="F31" i="8"/>
  <c r="F46" i="8"/>
  <c r="G27" i="8"/>
  <c r="H46" i="8"/>
  <c r="G42" i="8"/>
  <c r="G51" i="8" s="1"/>
  <c r="G53" i="8" s="1"/>
  <c r="H31" i="8"/>
  <c r="H27" i="8"/>
  <c r="H42" i="8"/>
  <c r="D31" i="8"/>
  <c r="D46" i="8"/>
  <c r="C53" i="7"/>
  <c r="C64" i="7" s="1"/>
  <c r="C71" i="7"/>
  <c r="E53" i="7"/>
  <c r="E64" i="7" s="1"/>
  <c r="G53" i="7"/>
  <c r="G64" i="7" s="1"/>
  <c r="F53" i="7"/>
  <c r="F64" i="7" s="1"/>
  <c r="D53" i="7"/>
  <c r="D64" i="7" s="1"/>
  <c r="H53" i="7"/>
  <c r="H64" i="7" s="1"/>
  <c r="D34" i="8" l="1"/>
  <c r="D51" i="8"/>
  <c r="D53" i="8" s="1"/>
  <c r="E51" i="8"/>
  <c r="E53" i="8" s="1"/>
  <c r="G34" i="8"/>
  <c r="H34" i="8"/>
  <c r="F34" i="8"/>
  <c r="F51" i="8"/>
  <c r="F53" i="8" s="1"/>
  <c r="H51" i="8"/>
  <c r="H53" i="8" s="1"/>
</calcChain>
</file>

<file path=xl/sharedStrings.xml><?xml version="1.0" encoding="utf-8"?>
<sst xmlns="http://schemas.openxmlformats.org/spreadsheetml/2006/main" count="678" uniqueCount="404">
  <si>
    <t>Sales</t>
  </si>
  <si>
    <t>Cost of Goods Sold</t>
  </si>
  <si>
    <t>Gross Profit</t>
  </si>
  <si>
    <t>Selling, General &amp; Administrative</t>
  </si>
  <si>
    <t>EBITDA</t>
  </si>
  <si>
    <t>Depreciation &amp; Amortization</t>
  </si>
  <si>
    <t>EBIT</t>
  </si>
  <si>
    <t>Taxes</t>
  </si>
  <si>
    <t>Plus: Depreciation &amp; Amortization</t>
  </si>
  <si>
    <t>Less: Capital Expenditures</t>
  </si>
  <si>
    <t>Hist.</t>
  </si>
  <si>
    <t>Est.</t>
  </si>
  <si>
    <t>Current Assets</t>
  </si>
  <si>
    <t>Accounts Receivables, net</t>
  </si>
  <si>
    <t>Inventories</t>
  </si>
  <si>
    <t>Current Liabilities</t>
  </si>
  <si>
    <t>Accounts Payable</t>
  </si>
  <si>
    <t>Accrued Liabilities</t>
  </si>
  <si>
    <t>Other Current Liabilities</t>
  </si>
  <si>
    <t>Total Current Assets</t>
  </si>
  <si>
    <t>Total Current Liabilities</t>
  </si>
  <si>
    <t>Prepaids and Other Current Assets</t>
  </si>
  <si>
    <t>Net Working Capital</t>
  </si>
  <si>
    <t>(Increase) / Decrease in NWC</t>
  </si>
  <si>
    <t>Assumptions</t>
  </si>
  <si>
    <t>Days Sales Outstanding</t>
  </si>
  <si>
    <t>Days Inventory Held</t>
  </si>
  <si>
    <t>Prepaids and Other CA (% of sales)</t>
  </si>
  <si>
    <t>Days Payable Outstanding</t>
  </si>
  <si>
    <t>Accrued Liabilities (% of sales)</t>
  </si>
  <si>
    <t>Other Current Liabilities (% of sales)</t>
  </si>
  <si>
    <t>Discount Factor</t>
  </si>
  <si>
    <t>Enterprise Value</t>
  </si>
  <si>
    <t>Implied Perpetuity Growth Rate</t>
  </si>
  <si>
    <t>WACC</t>
  </si>
  <si>
    <t>Less: Preferred Stock</t>
  </si>
  <si>
    <t>Less: Noncontrolling Interest</t>
  </si>
  <si>
    <t>Plus: Cash and Cash Equivalents</t>
  </si>
  <si>
    <t>Implied EV/EBITDA</t>
  </si>
  <si>
    <t>Fully Diluted Shares Outstanding</t>
  </si>
  <si>
    <t xml:space="preserve">   WACC</t>
  </si>
  <si>
    <t xml:space="preserve">   Discount Period</t>
  </si>
  <si>
    <t xml:space="preserve">   Discount Factor</t>
  </si>
  <si>
    <t xml:space="preserve">   Present Value of Free Cash Flow</t>
  </si>
  <si>
    <t>Valuation Date:</t>
  </si>
  <si>
    <t>Latest FYE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</si>
  <si>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</si>
  <si>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</si>
  <si>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</si>
  <si>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</si>
  <si>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</si>
  <si>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</si>
  <si>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Company Name:</t>
  </si>
  <si>
    <t xml:space="preserve">   % sales</t>
  </si>
  <si>
    <t>WACC Calculation</t>
  </si>
  <si>
    <t>Target Capital Structure</t>
  </si>
  <si>
    <t>Debt-to-Total Capitalization</t>
  </si>
  <si>
    <t>Equity-to-Total Capitalization</t>
  </si>
  <si>
    <t>Cost of Debt</t>
  </si>
  <si>
    <t xml:space="preserve">   After-tax Cost of Debt</t>
  </si>
  <si>
    <t>Cost of Equity</t>
  </si>
  <si>
    <t>Levered Beta</t>
  </si>
  <si>
    <t xml:space="preserve">   Cost of Equity</t>
  </si>
  <si>
    <t>Risk-free Rate</t>
  </si>
  <si>
    <t>Market Risk Premium</t>
  </si>
  <si>
    <t>Comparable Companies Unlevered Beta</t>
  </si>
  <si>
    <t>Predicted</t>
  </si>
  <si>
    <t>Debt/</t>
  </si>
  <si>
    <t>Marginal</t>
  </si>
  <si>
    <t>Unlevered</t>
  </si>
  <si>
    <t>Company</t>
  </si>
  <si>
    <t>Equity</t>
  </si>
  <si>
    <t>Beta</t>
  </si>
  <si>
    <t xml:space="preserve">Mean </t>
  </si>
  <si>
    <t>Median</t>
  </si>
  <si>
    <t>Mean</t>
  </si>
  <si>
    <t>Target</t>
  </si>
  <si>
    <t>Relevered</t>
  </si>
  <si>
    <t>Relevered Beta</t>
  </si>
  <si>
    <t>WACC Sensitivity Analysis</t>
  </si>
  <si>
    <t>Pre-tax Cost of Debt</t>
  </si>
  <si>
    <t>Market Value</t>
  </si>
  <si>
    <t>Debt</t>
  </si>
  <si>
    <t>of Equity</t>
  </si>
  <si>
    <t>Other Premium Adjustment (e.g., Size)</t>
  </si>
  <si>
    <t>Number of</t>
  </si>
  <si>
    <t>Exercise</t>
  </si>
  <si>
    <t>In-the-Money</t>
  </si>
  <si>
    <t>Shares</t>
  </si>
  <si>
    <t>Price</t>
  </si>
  <si>
    <t>Proceeds</t>
  </si>
  <si>
    <t>Tranche 1</t>
  </si>
  <si>
    <t>Tranche 2</t>
  </si>
  <si>
    <t>Tranche 3</t>
  </si>
  <si>
    <t>Tranche 4</t>
  </si>
  <si>
    <t>Tranche 5</t>
  </si>
  <si>
    <t xml:space="preserve">   Total</t>
  </si>
  <si>
    <t>Basic Shares Outstanding</t>
  </si>
  <si>
    <t>Plus: Shares from In-the-Money Options</t>
  </si>
  <si>
    <t>Less: Shares Repurchased</t>
  </si>
  <si>
    <t xml:space="preserve">   Net New Shares from Options</t>
  </si>
  <si>
    <t>Plus: Shares from Convertible Securities</t>
  </si>
  <si>
    <t xml:space="preserve">   Fully Diluted Shares Outstanding</t>
  </si>
  <si>
    <t>Current Share Price</t>
  </si>
  <si>
    <t>Fully Diluted Shares Outstanding Calculation</t>
  </si>
  <si>
    <t>Options and Warrants</t>
  </si>
  <si>
    <t>Sensitivity Analysis</t>
  </si>
  <si>
    <t>Implied Share Price</t>
  </si>
  <si>
    <t>Dollars millions, except as indicated</t>
  </si>
  <si>
    <t>Assumptions (continued)</t>
  </si>
  <si>
    <t xml:space="preserve">   Weighted Average Cost of Capital (WACC)</t>
  </si>
  <si>
    <t>Summary Valuation</t>
  </si>
  <si>
    <t>Less: Unfunded Pensions and Other</t>
  </si>
  <si>
    <t>Current</t>
  </si>
  <si>
    <t>Enterprise Value /</t>
  </si>
  <si>
    <t>LTM</t>
  </si>
  <si>
    <t>Total</t>
  </si>
  <si>
    <t>Price /</t>
  </si>
  <si>
    <t>Share</t>
  </si>
  <si>
    <t xml:space="preserve">Equity </t>
  </si>
  <si>
    <t>Enterprise</t>
  </si>
  <si>
    <t>Debt /</t>
  </si>
  <si>
    <t>EPS</t>
  </si>
  <si>
    <t>Ticker</t>
  </si>
  <si>
    <t>Margin</t>
  </si>
  <si>
    <t>CY 23E</t>
  </si>
  <si>
    <t>CY 24E</t>
  </si>
  <si>
    <t>Value ($m)</t>
  </si>
  <si>
    <t>Fiscal Year</t>
  </si>
  <si>
    <t>End</t>
  </si>
  <si>
    <t>Month</t>
  </si>
  <si>
    <t>Forecasted Fiscal Year + 1</t>
  </si>
  <si>
    <t>Forecasted Fiscal Year + 2</t>
  </si>
  <si>
    <t>Latest Fiscal Year</t>
  </si>
  <si>
    <t>Prior Stub</t>
  </si>
  <si>
    <t>Prior</t>
  </si>
  <si>
    <t>Stub</t>
  </si>
  <si>
    <t>Period</t>
  </si>
  <si>
    <t>Forecast</t>
  </si>
  <si>
    <t>FY + 1</t>
  </si>
  <si>
    <t>FY + 2</t>
  </si>
  <si>
    <t>NCI</t>
  </si>
  <si>
    <t>Pref Stock</t>
  </si>
  <si>
    <t>Cash</t>
  </si>
  <si>
    <t>Net Debt</t>
  </si>
  <si>
    <t>Total Debt</t>
  </si>
  <si>
    <t>Price ($)</t>
  </si>
  <si>
    <t>Comparable Companies Analysis</t>
  </si>
  <si>
    <t>Company Name</t>
  </si>
  <si>
    <t>Is Company Publicly-listed?</t>
  </si>
  <si>
    <t>Yes</t>
  </si>
  <si>
    <t>NOPAT</t>
  </si>
  <si>
    <t>CAG</t>
  </si>
  <si>
    <t>General Mills, Inc.</t>
  </si>
  <si>
    <t>Conagra Brands, Inc.</t>
  </si>
  <si>
    <t>GIS</t>
  </si>
  <si>
    <t>The Kraft Heinz Company</t>
  </si>
  <si>
    <t>KHC</t>
  </si>
  <si>
    <t>The Campbell Soup Company</t>
  </si>
  <si>
    <t>The Hershey Company</t>
  </si>
  <si>
    <t>HSY</t>
  </si>
  <si>
    <t>CPB</t>
  </si>
  <si>
    <t>Mondelez International, Inc.</t>
  </si>
  <si>
    <t>MDLZ</t>
  </si>
  <si>
    <t>Hormel Foods Corporation</t>
  </si>
  <si>
    <t>HRL</t>
  </si>
  <si>
    <t>Post Holdings, Inc.</t>
  </si>
  <si>
    <t>POST</t>
  </si>
  <si>
    <t>The J. M. Smucker Company</t>
  </si>
  <si>
    <t>SJM</t>
  </si>
  <si>
    <t>Outstanding</t>
  </si>
  <si>
    <t>Latest</t>
  </si>
  <si>
    <t>Historical beta (e.g., Bloomberg or other source)</t>
  </si>
  <si>
    <t>Date</t>
  </si>
  <si>
    <t>Date for Data</t>
  </si>
  <si>
    <t>Most Recent</t>
  </si>
  <si>
    <t>Last Twelve Months</t>
  </si>
  <si>
    <t>Latest Stub</t>
  </si>
  <si>
    <t>D&amp;A</t>
  </si>
  <si>
    <t>OpExp</t>
  </si>
  <si>
    <t>Dil. EPS</t>
  </si>
  <si>
    <t>Forecasted Calendar Year + 1</t>
  </si>
  <si>
    <t>Forecasted Calendar Year + 2</t>
  </si>
  <si>
    <t>CY + 1</t>
  </si>
  <si>
    <t>FY + 3</t>
  </si>
  <si>
    <t>Forecasted Fiscal Year + 3</t>
  </si>
  <si>
    <t>Options</t>
  </si>
  <si>
    <t>Weighted Avg.</t>
  </si>
  <si>
    <t>Shares from</t>
  </si>
  <si>
    <t>Repurchased</t>
  </si>
  <si>
    <t xml:space="preserve">Fully Diluted </t>
  </si>
  <si>
    <t xml:space="preserve">Shares </t>
  </si>
  <si>
    <t>ITM Options</t>
  </si>
  <si>
    <t>Outstanding (m)</t>
  </si>
  <si>
    <t>Basic Shares</t>
  </si>
  <si>
    <t>Use Fully Diluted Shares?</t>
  </si>
  <si>
    <t>Implied EV (mean mult)</t>
  </si>
  <si>
    <t>Implied EV (median mult)</t>
  </si>
  <si>
    <t>Implied Equity Value (mean mult)</t>
  </si>
  <si>
    <t>Implied Equity Value (median mult)</t>
  </si>
  <si>
    <t>Min</t>
  </si>
  <si>
    <t>Max</t>
  </si>
  <si>
    <t>Implied EV (adj. mean mult)</t>
  </si>
  <si>
    <t>Implied Equity Value (adj. mean mult)</t>
  </si>
  <si>
    <t>Adj. Mean (excl. min and max)</t>
  </si>
  <si>
    <t>Comparable Precedent Transactions Analysis</t>
  </si>
  <si>
    <t>Acquirer</t>
  </si>
  <si>
    <t>Date Announced</t>
  </si>
  <si>
    <t>Consideration</t>
  </si>
  <si>
    <t>Purchase</t>
  </si>
  <si>
    <t>Announced</t>
  </si>
  <si>
    <t>Premiums Paid</t>
  </si>
  <si>
    <t>Net Income</t>
  </si>
  <si>
    <t>Days Prior to Announcement</t>
  </si>
  <si>
    <t>1 day</t>
  </si>
  <si>
    <t>7 days</t>
  </si>
  <si>
    <t>30 days</t>
  </si>
  <si>
    <t>Acquirer Name</t>
  </si>
  <si>
    <t>Status</t>
  </si>
  <si>
    <t>Deal</t>
  </si>
  <si>
    <t>Target Name</t>
  </si>
  <si>
    <t>Tyson Foods Inc</t>
  </si>
  <si>
    <t>Hillshire Brands Co</t>
  </si>
  <si>
    <t>Snyder's-Lance Inc</t>
  </si>
  <si>
    <t>Diamond Foods Inc</t>
  </si>
  <si>
    <t>Danone SA</t>
  </si>
  <si>
    <t>The WhiteWave Foods Co</t>
  </si>
  <si>
    <t>Reckitt Benckiser Group PLC</t>
  </si>
  <si>
    <t>Mead Johnson Nutrition Co</t>
  </si>
  <si>
    <t>AdvancePierre Foods Hldg Inc</t>
  </si>
  <si>
    <t>Campbell Soup Co</t>
  </si>
  <si>
    <t>General Mills Inc</t>
  </si>
  <si>
    <t>Blue Buffalo Pet Products Inc</t>
  </si>
  <si>
    <t>Conagra Brands Inc</t>
  </si>
  <si>
    <t>Pinnacle Foods Inc</t>
  </si>
  <si>
    <t>SDC Deal</t>
  </si>
  <si>
    <t>SDC Deal Value</t>
  </si>
  <si>
    <t>Purchase Consideration</t>
  </si>
  <si>
    <t>100% Cash</t>
  </si>
  <si>
    <t>Mix Cash/Stock</t>
  </si>
  <si>
    <t>LTM Sales</t>
  </si>
  <si>
    <t>LTM EBIT</t>
  </si>
  <si>
    <t>LTM EBITDA</t>
  </si>
  <si>
    <t>LTM Net Income</t>
  </si>
  <si>
    <t>LTM EPS</t>
  </si>
  <si>
    <t>SDC Data</t>
  </si>
  <si>
    <t>SDC Enterprise Value /</t>
  </si>
  <si>
    <t>SDC Price /</t>
  </si>
  <si>
    <t>SDC Premium</t>
  </si>
  <si>
    <t>1 week</t>
  </si>
  <si>
    <t>4 week</t>
  </si>
  <si>
    <t>Deal Status</t>
  </si>
  <si>
    <t>Completed</t>
  </si>
  <si>
    <t>SDC Equity Value /</t>
  </si>
  <si>
    <t>Less: Net Debt</t>
  </si>
  <si>
    <t>Equity Value</t>
  </si>
  <si>
    <t>At Offer</t>
  </si>
  <si>
    <t>FD shares</t>
  </si>
  <si>
    <t>copied from trading comps</t>
  </si>
  <si>
    <t>Low</t>
  </si>
  <si>
    <t>High</t>
  </si>
  <si>
    <t>Precedent Transactions</t>
  </si>
  <si>
    <t>52-Week Trading Range</t>
  </si>
  <si>
    <t>Comparable Companies</t>
  </si>
  <si>
    <t>Discounted Cash Flows</t>
  </si>
  <si>
    <t>Equity Value ($)</t>
  </si>
  <si>
    <t>Implied Share Price (median mult)</t>
  </si>
  <si>
    <t>Implied Share Price (mean mult)</t>
  </si>
  <si>
    <t>Implied Share Price (adj. mean mult)</t>
  </si>
  <si>
    <t>Comparable Companies (median)</t>
  </si>
  <si>
    <t>Precedent Transactions (median)</t>
  </si>
  <si>
    <t>Comparable Companies (adj. mean)</t>
  </si>
  <si>
    <t>Precedent Transactions (adj. mean)</t>
  </si>
  <si>
    <t>P/E</t>
  </si>
  <si>
    <t>Adj. Mean</t>
  </si>
  <si>
    <t>CY23</t>
  </si>
  <si>
    <t>Link to Valuations</t>
  </si>
  <si>
    <t>Estimated Valuation range</t>
  </si>
  <si>
    <t>Share Price ($)</t>
  </si>
  <si>
    <t>Equity Value ($ m)</t>
  </si>
  <si>
    <t>Enterprise Value ($ m)</t>
  </si>
  <si>
    <t>Implied Premium to Current Price</t>
  </si>
  <si>
    <t>tnic = "Food and Kindred Products"</t>
  </si>
  <si>
    <t>Selection of precedent transactions:</t>
  </si>
  <si>
    <t>da = 2013 to 2022 (inclusive)</t>
  </si>
  <si>
    <t>pctown = 100</t>
  </si>
  <si>
    <t>tpubc = Public</t>
  </si>
  <si>
    <t>val &gt; 1000</t>
  </si>
  <si>
    <t>CY + 2</t>
  </si>
  <si>
    <t>HOW TO USE THIS VALUATION MODEL FILE</t>
  </si>
  <si>
    <t>Select a valuation date. Share prices and 52-week range data would need to reflect this date.</t>
  </si>
  <si>
    <t>Be careful about fiscal year ends and how they affect LTM and calendarization of numbers.</t>
  </si>
  <si>
    <t>Only change the input cells and do not change the formula cells (unless you feel comfortable doing so).</t>
  </si>
  <si>
    <t>All inputs are in grey shaded cells with blue (positive numbers) or red (negative numbers) font.</t>
  </si>
  <si>
    <t>Ensure to use the most recent data (i.e., 10-K, 10-Q, or 8-K) when inputting data.</t>
  </si>
  <si>
    <t>The valuation summary is automated. You only need to select the valuation range and move the shaded area in the graph manually.</t>
  </si>
  <si>
    <t>Make sure you do not leave any input blank (unless the data is not available).</t>
  </si>
  <si>
    <t>Free Cash Flow</t>
  </si>
  <si>
    <t>The DCF model will also discount back FCF to the valuation date.</t>
  </si>
  <si>
    <t>The Excel file should print out nicely formatted valuation output.</t>
  </si>
  <si>
    <t>Dollars millions</t>
  </si>
  <si>
    <t>Add back: Depreciation &amp; Amort.</t>
  </si>
  <si>
    <t>Cash Flow from Operations</t>
  </si>
  <si>
    <t>Assets</t>
  </si>
  <si>
    <t>Liabilities</t>
  </si>
  <si>
    <t>Fixed Assets</t>
  </si>
  <si>
    <t>Total Assets</t>
  </si>
  <si>
    <t>Short term debt</t>
  </si>
  <si>
    <t>Long term Debt</t>
  </si>
  <si>
    <t>Total Liabilities</t>
  </si>
  <si>
    <t>Common Stockholders' Equity</t>
  </si>
  <si>
    <t>Total Equity</t>
  </si>
  <si>
    <t>Total Liabilities and Equity</t>
  </si>
  <si>
    <t>Balance sheet check</t>
  </si>
  <si>
    <t>Capital Expenditures</t>
  </si>
  <si>
    <t>Current share price</t>
  </si>
  <si>
    <t>Basic shares outstanding (m)</t>
  </si>
  <si>
    <t>Shares under employee options</t>
  </si>
  <si>
    <t>Weighted avg. exercise price of options</t>
  </si>
  <si>
    <t>Sales growth</t>
  </si>
  <si>
    <t>Gross margin</t>
  </si>
  <si>
    <t>SG&amp;A as % of sales</t>
  </si>
  <si>
    <t>Net margin</t>
  </si>
  <si>
    <t>Change in NWC as % of sales</t>
  </si>
  <si>
    <t>Net working capital</t>
  </si>
  <si>
    <t>Mid-year Convention? (Yes or No)</t>
  </si>
  <si>
    <t>Use Fully Diluted Shares? (Yes or No)</t>
  </si>
  <si>
    <t>Return on Equity</t>
  </si>
  <si>
    <t>CY+1</t>
  </si>
  <si>
    <t>Current Period</t>
  </si>
  <si>
    <t>Sales ($ million)</t>
  </si>
  <si>
    <t>Prior Period</t>
  </si>
  <si>
    <t>Number of periods</t>
  </si>
  <si>
    <t>Sales CAGR</t>
  </si>
  <si>
    <t>Company Equity ($ million)</t>
  </si>
  <si>
    <t>Consolidated Equity ($ million)</t>
  </si>
  <si>
    <t>ROE Company</t>
  </si>
  <si>
    <t>ROE Consolidated</t>
  </si>
  <si>
    <t>Profitability (NI/Sales)</t>
  </si>
  <si>
    <t>Efficiency (Sales/Avg. Assets)</t>
  </si>
  <si>
    <t>Leverage (Avg. Assets/Avg. Equity)</t>
  </si>
  <si>
    <t>ROA</t>
  </si>
  <si>
    <t>Cost of goods sold ($ million)</t>
  </si>
  <si>
    <t>Inventory</t>
  </si>
  <si>
    <t>Receivables</t>
  </si>
  <si>
    <t>Payables</t>
  </si>
  <si>
    <t>Inventory Turnover</t>
  </si>
  <si>
    <t>Receivables Turnover</t>
  </si>
  <si>
    <t>Payables Turnover</t>
  </si>
  <si>
    <t>Days Inventory Outstanding (DIO)</t>
  </si>
  <si>
    <t>Days Sales Outstanding (DSO)</t>
  </si>
  <si>
    <t>Days Payables Outstanding (DPO)</t>
  </si>
  <si>
    <t>Cash Conversion Cycle (CCC)</t>
  </si>
  <si>
    <t>Basic EPS</t>
  </si>
  <si>
    <t>Diluted EPS</t>
  </si>
  <si>
    <t>Replace ALL data for the sample company and the comparable companies with data for the company you wish to value.</t>
  </si>
  <si>
    <t>Calculate yearly sales growth from 2018 to 2022.</t>
  </si>
  <si>
    <t>Calculate compound annual growth rate of sales from 2017 to 2022.</t>
  </si>
  <si>
    <t>Calculate Return on Equity for 2018 to 2022 at the Company level (i.e., exclude NCI) and Consolidated level.</t>
  </si>
  <si>
    <t>Conduct an ROE decomposition (i.e., DuPont analysis) for 2018 to 2022 at Consolidated level.</t>
  </si>
  <si>
    <t>Calculate the Cash Conversion Cycle for 2018 to 2022.</t>
  </si>
  <si>
    <t>Ratios and checks</t>
  </si>
  <si>
    <t>Selected Market data:</t>
  </si>
  <si>
    <t>Income Statement:</t>
  </si>
  <si>
    <t>Balance Sheet:</t>
  </si>
  <si>
    <t>Selected Cash Flow data:</t>
  </si>
  <si>
    <t>Serial Co.</t>
  </si>
  <si>
    <t>Non-controlling interest</t>
  </si>
  <si>
    <t>Pre-tax Cost-of-Debt</t>
  </si>
  <si>
    <t>Interest Income/(Expense)</t>
  </si>
  <si>
    <t>Income Before Taxes</t>
  </si>
  <si>
    <t>Operating Income</t>
  </si>
  <si>
    <t>Consolidated Net Income/(Loss)</t>
  </si>
  <si>
    <t>Net Income/(Loss) to Company</t>
  </si>
  <si>
    <t>NCI share in income</t>
  </si>
  <si>
    <t>Net income/(Loss) to Company ($ million)</t>
  </si>
  <si>
    <t>Operating Taxes</t>
  </si>
  <si>
    <t>Statutory Tax Rate (%)</t>
  </si>
  <si>
    <t>Consolidated Net income ($ million)</t>
  </si>
  <si>
    <t>Steady-state</t>
  </si>
  <si>
    <t>converge to steady-state</t>
  </si>
  <si>
    <t>assumptions</t>
  </si>
  <si>
    <t>Implied FCF Perpetuity Growth Rate</t>
  </si>
  <si>
    <r>
      <t>Sum of Present Value of FCFs</t>
    </r>
    <r>
      <rPr>
        <b/>
        <sz val="10.5"/>
        <color rgb="FF000000"/>
        <rFont val="Calibri"/>
        <family val="2"/>
        <scheme val="minor"/>
      </rPr>
      <t xml:space="preserve"> (before Terminal Year)</t>
    </r>
  </si>
  <si>
    <t>Present Value of Terminal Value</t>
  </si>
  <si>
    <t>PV of TV as % of Enterprise Value</t>
  </si>
  <si>
    <t>% growth</t>
  </si>
  <si>
    <t>% margin</t>
  </si>
  <si>
    <t>Equity Value and Share Price</t>
  </si>
  <si>
    <t>Share Price</t>
  </si>
  <si>
    <t>x Mid-year adjustment factor</t>
  </si>
  <si>
    <t>x Valuation date adjustment factor</t>
  </si>
  <si>
    <t>Adj. Equity Value</t>
  </si>
  <si>
    <t>Adj. Enterprise Value</t>
  </si>
  <si>
    <t>Explicit Forecast Period</t>
  </si>
  <si>
    <t>Steady-State</t>
  </si>
  <si>
    <t>Use these years to</t>
  </si>
  <si>
    <t>Less: Total Financial Debt</t>
  </si>
  <si>
    <t>Valuation Date Adjustment? (Yes or No)</t>
  </si>
  <si>
    <t>EBITDA Exit Multiple</t>
  </si>
  <si>
    <t>PV of Terminal Value as % of Enterprise Value</t>
  </si>
  <si>
    <t>Assumed EBITDA Exit Multiple</t>
  </si>
  <si>
    <t>Terminal Value</t>
  </si>
  <si>
    <t xml:space="preserve">   Present Value of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</si>
</sst>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43" formatCode="_(* #,##0.00_);_(* \(#,##0.00\);_(* &quot;-&quot;??_);_(@_)"/>
    <numFmt numFmtId="164" formatCode="0.0%"/>
    <numFmt numFmtId="165" formatCode="* _(&quot;$&quot;##,##0.0_);[Red]* \(&quot;$&quot;##,##0.0\);* _(&quot;-&quot;?_);_(@_)"/>
    <numFmt numFmtId="166" formatCode="* _(##,##0.0_);[Red]* \(##,##0.0\);* _(&quot;-&quot;?_);_(@_)"/>
    <numFmt numFmtId="167" formatCode="* _(#,##0.0%_);* \(#,##0.0%\);* _(&quot;-&quot;?_);_(@_)"/>
    <numFmt numFmtId="168" formatCode="_(* #,##0.0%;_(* \(#,##0.0%\);_(* &quot;- %&quot;_);_(* @_%_)"/>
    <numFmt numFmtId="169" formatCode="_(* #,##0.0%_);_(* \(#,##0.0%\);_(* &quot;--- %&quot;_);_(* @_%_)"/>
    <numFmt numFmtId="170" formatCode="_(* #,##0.0\x;_(* \(#,##0.0\x\);_(* &quot;- x&quot;_);_(* @_%_)"/>
    <numFmt numFmtId="171" formatCode="_(* #,##0.00_);_(* \(#,##0.00\);_(* &quot;-&quot;?_);_(@_)"/>
    <numFmt numFmtId="172" formatCode="&quot;$&quot;#,##0.0_);\(&quot;$&quot;#,##0.0\)"/>
    <numFmt numFmtId="173" formatCode="_(* #,##0.0_);_(* \(#,##0.0\);_(* &quot;-&quot;?_);_(@_)"/>
    <numFmt numFmtId="174" formatCode="&quot;$&quot;#,##0.0_);[Red]\(&quot;$&quot;#,##0.0\)"/>
    <numFmt numFmtId="175" formatCode="&quot;$&quot;#,##0.00"/>
    <numFmt numFmtId="176" formatCode="#,##0.0_);[Red]\(#,##0.0\)"/>
    <numFmt numFmtId="177" formatCode="0.0\x"/>
    <numFmt numFmtId="178" formatCode="[$-409]mmm\-yy;@"/>
    <numFmt numFmtId="179" formatCode="* _(##,##0.00_);[Red]* \(##,##0.00\);* _(&quot;-&quot;?_);_(@_)"/>
    <numFmt numFmtId="180" formatCode="[$-409]dd\-mmm\-yy;@"/>
    <numFmt numFmtId="181" formatCode="#,##0.00;\(#,##0.00\);_(* &quot;-&quot;_)"/>
    <numFmt numFmtId="182" formatCode="0.00_);[Red]\(0.00\)"/>
    <numFmt numFmtId="183" formatCode="* _(##,##0.000_);* \(##,##0.000\);* _(&quot;-&quot;?_);_(@_)"/>
    <numFmt numFmtId="184" formatCode="* _(&quot;$&quot;#,##0.00_);* \(&quot;$&quot;#,##0.00\);* _(&quot;-&quot;?_);_(@_)"/>
    <numFmt numFmtId="185" formatCode="_(* #,##0.000_);_(* \(#,##0.000\);_(* &quot;-&quot;?_);_(@_)"/>
    <numFmt numFmtId="186" formatCode="* _(#,##0.00_);* \(#,##0.00\);* _(&quot;-&quot;?_);_(@_)"/>
    <numFmt numFmtId="187" formatCode="m/d/yy;@"/>
    <numFmt numFmtId="188" formatCode="0.0.\x"/>
    <numFmt numFmtId="189" formatCode="* _(##,##0.0_);* \(##,##0.0\);* _(&quot;-&quot;?_);_(@_)"/>
    <numFmt numFmtId="190" formatCode="* _(##,##0.00_);* \(##,##0.00\);* _(&quot;-&quot;?_);_(@_)"/>
    <numFmt numFmtId="191" formatCode="* _(##,##0_);[Red]* \(##,##0\);* _(&quot;-&quot;?_);_(@_)"/>
    <numFmt numFmtId="192" formatCode="[$-409]d\-mmm\-yy;@"/>
    <numFmt numFmtId="193" formatCode="* _(#,##0.000_);* \(#,##0.000\);* _(&quot;-&quot;?_);_(@_)"/>
    <numFmt numFmtId="194" formatCode="* _(&quot;$&quot;##,##0_);[Red]* \(&quot;$&quot;##,##0\);* _(&quot;-&quot;?_);_(@_)"/>
    <numFmt numFmtId="195" formatCode="_(* #,##0_);_(* \(#,##0\);_(* &quot;-&quot;??_);_(@_)"/>
    <numFmt numFmtId="196" formatCode="0.0"/>
    <numFmt numFmtId="197" formatCode="0.0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sz val="9"/>
      <color indexed="0"/>
      <name val="Helvetica"/>
      <family val="2"/>
    </font>
    <font>
      <sz val="9"/>
      <name val="Times New Roman"/>
      <family val="1"/>
    </font>
    <font>
      <sz val="10"/>
      <color indexed="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Times New Roman"/>
      <family val="1"/>
    </font>
    <font>
      <b/>
      <sz val="16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indexed="9"/>
      <name val="Calibri"/>
      <family val="2"/>
      <scheme val="minor"/>
    </font>
    <font>
      <b/>
      <sz val="10.5"/>
      <color indexed="9"/>
      <name val="Calibri"/>
      <family val="2"/>
      <scheme val="minor"/>
    </font>
    <font>
      <sz val="10.5"/>
      <color indexed="9"/>
      <name val="Calibri"/>
      <family val="2"/>
      <scheme val="minor"/>
    </font>
    <font>
      <sz val="10.5"/>
      <color indexed="0"/>
      <name val="Calibri"/>
      <family val="2"/>
      <scheme val="minor"/>
    </font>
    <font>
      <b/>
      <sz val="10.5"/>
      <color indexed="8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i/>
      <sz val="10.5"/>
      <color indexed="8"/>
      <name val="Calibri"/>
      <family val="2"/>
      <scheme val="minor"/>
    </font>
    <font>
      <i/>
      <sz val="10.5"/>
      <color indexed="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4"/>
      <name val="Calibri"/>
      <family val="2"/>
      <scheme val="minor"/>
    </font>
    <font>
      <b/>
      <sz val="10.5"/>
      <color indexed="0"/>
      <name val="Calibri"/>
      <family val="2"/>
      <scheme val="minor"/>
    </font>
    <font>
      <i/>
      <sz val="10.5"/>
      <name val="Calibri"/>
      <family val="2"/>
      <scheme val="minor"/>
    </font>
    <font>
      <sz val="10.5"/>
      <color theme="6" tint="0.79998168889431442"/>
      <name val="Calibri"/>
      <family val="2"/>
      <scheme val="minor"/>
    </font>
    <font>
      <b/>
      <sz val="10.5"/>
      <color theme="4"/>
      <name val="Calibri"/>
      <family val="2"/>
      <scheme val="minor"/>
    </font>
    <font>
      <sz val="10.5"/>
      <color indexed="8"/>
      <name val="Calibri"/>
      <family val="2"/>
      <scheme val="minor"/>
    </font>
    <font>
      <b/>
      <i/>
      <sz val="10.5"/>
      <color indexed="8"/>
      <name val="Calibri"/>
      <family val="2"/>
      <scheme val="minor"/>
    </font>
    <font>
      <sz val="10.5"/>
      <color indexed="12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7" fillId="0" borderId="0" applyFill="0" applyBorder="0" applyProtection="0">
      <protection locked="0"/>
    </xf>
    <xf numFmtId="0" fontId="8" fillId="0" borderId="0" applyNumberFormat="0" applyFill="0" applyBorder="0" applyAlignment="0" applyProtection="0"/>
    <xf numFmtId="0" fontId="9" fillId="0" borderId="0"/>
    <xf numFmtId="169" fontId="10" fillId="0" borderId="0" applyFont="0" applyFill="0" applyBorder="0" applyAlignment="0" applyProtection="0">
      <alignment horizontal="right"/>
    </xf>
    <xf numFmtId="0" fontId="7" fillId="0" borderId="0"/>
    <xf numFmtId="0" fontId="7" fillId="0" borderId="0"/>
    <xf numFmtId="0" fontId="19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</cellStyleXfs>
  <cellXfs count="339">
    <xf numFmtId="0" fontId="0" fillId="0" borderId="0" xfId="0"/>
    <xf numFmtId="0" fontId="2" fillId="0" borderId="1" xfId="0" applyFont="1" applyBorder="1"/>
    <xf numFmtId="0" fontId="4" fillId="0" borderId="0" xfId="0" applyFont="1"/>
    <xf numFmtId="0" fontId="2" fillId="0" borderId="0" xfId="0" applyFont="1"/>
    <xf numFmtId="167" fontId="4" fillId="0" borderId="0" xfId="1" applyNumberFormat="1" applyFont="1"/>
    <xf numFmtId="166" fontId="2" fillId="0" borderId="0" xfId="0" applyNumberFormat="1" applyFont="1"/>
    <xf numFmtId="0" fontId="0" fillId="0" borderId="1" xfId="0" applyBorder="1"/>
    <xf numFmtId="166" fontId="0" fillId="0" borderId="0" xfId="0" applyNumberFormat="1"/>
    <xf numFmtId="0" fontId="11" fillId="0" borderId="0" xfId="4" applyFont="1"/>
    <xf numFmtId="0" fontId="15" fillId="0" borderId="0" xfId="4" applyFont="1"/>
    <xf numFmtId="0" fontId="12" fillId="0" borderId="0" xfId="4" applyFont="1"/>
    <xf numFmtId="167" fontId="16" fillId="0" borderId="0" xfId="3" applyNumberFormat="1" applyFont="1" applyFill="1" applyBorder="1" applyAlignment="1">
      <alignment horizontal="right"/>
    </xf>
    <xf numFmtId="38" fontId="11" fillId="0" borderId="0" xfId="2" applyNumberFormat="1" applyFont="1" applyBorder="1" applyAlignment="1" applyProtection="1">
      <alignment horizontal="center"/>
    </xf>
    <xf numFmtId="168" fontId="0" fillId="0" borderId="0" xfId="0" applyNumberFormat="1"/>
    <xf numFmtId="14" fontId="0" fillId="0" borderId="0" xfId="0" applyNumberFormat="1"/>
    <xf numFmtId="178" fontId="2" fillId="0" borderId="1" xfId="0" applyNumberFormat="1" applyFont="1" applyBorder="1"/>
    <xf numFmtId="167" fontId="3" fillId="4" borderId="0" xfId="1" applyNumberFormat="1" applyFont="1" applyFill="1"/>
    <xf numFmtId="167" fontId="17" fillId="0" borderId="4" xfId="1" applyNumberFormat="1" applyFont="1" applyFill="1" applyBorder="1"/>
    <xf numFmtId="166" fontId="6" fillId="0" borderId="4" xfId="0" applyNumberFormat="1" applyFont="1" applyBorder="1"/>
    <xf numFmtId="180" fontId="3" fillId="4" borderId="0" xfId="0" applyNumberFormat="1" applyFont="1" applyFill="1" applyAlignment="1">
      <alignment horizontal="left"/>
    </xf>
    <xf numFmtId="0" fontId="6" fillId="3" borderId="0" xfId="0" applyFont="1" applyFill="1"/>
    <xf numFmtId="168" fontId="3" fillId="4" borderId="0" xfId="0" applyNumberFormat="1" applyFont="1" applyFill="1"/>
    <xf numFmtId="168" fontId="5" fillId="0" borderId="0" xfId="0" applyNumberFormat="1" applyFont="1"/>
    <xf numFmtId="0" fontId="18" fillId="0" borderId="0" xfId="0" applyFont="1"/>
    <xf numFmtId="0" fontId="12" fillId="0" borderId="0" xfId="2" applyFont="1" applyBorder="1" applyAlignment="1" applyProtection="1">
      <alignment horizontal="right" vertical="distributed" textRotation="90"/>
      <protection locked="0"/>
    </xf>
    <xf numFmtId="164" fontId="13" fillId="0" borderId="0" xfId="1" applyNumberFormat="1" applyFont="1" applyBorder="1"/>
    <xf numFmtId="0" fontId="4" fillId="0" borderId="1" xfId="0" applyFont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0" fillId="0" borderId="0" xfId="0" applyFont="1"/>
    <xf numFmtId="0" fontId="20" fillId="0" borderId="1" xfId="0" applyFont="1" applyBorder="1"/>
    <xf numFmtId="170" fontId="13" fillId="0" borderId="0" xfId="5" applyNumberFormat="1" applyFont="1" applyFill="1" applyBorder="1" applyAlignment="1">
      <alignment horizontal="right" vertical="distributed"/>
    </xf>
    <xf numFmtId="0" fontId="3" fillId="4" borderId="0" xfId="0" applyFont="1" applyFill="1" applyAlignment="1">
      <alignment horizontal="left"/>
    </xf>
    <xf numFmtId="180" fontId="3" fillId="4" borderId="0" xfId="0" applyNumberFormat="1" applyFont="1" applyFill="1" applyAlignment="1">
      <alignment horizontal="center"/>
    </xf>
    <xf numFmtId="180" fontId="3" fillId="0" borderId="0" xfId="0" applyNumberFormat="1" applyFont="1" applyAlignment="1">
      <alignment horizontal="center"/>
    </xf>
    <xf numFmtId="0" fontId="3" fillId="4" borderId="0" xfId="0" applyFont="1" applyFill="1"/>
    <xf numFmtId="186" fontId="3" fillId="4" borderId="0" xfId="0" applyNumberFormat="1" applyFont="1" applyFill="1"/>
    <xf numFmtId="0" fontId="3" fillId="4" borderId="0" xfId="0" applyFont="1" applyFill="1" applyAlignment="1">
      <alignment horizontal="center"/>
    </xf>
    <xf numFmtId="189" fontId="3" fillId="4" borderId="0" xfId="0" applyNumberFormat="1" applyFont="1" applyFill="1"/>
    <xf numFmtId="190" fontId="3" fillId="4" borderId="0" xfId="0" applyNumberFormat="1" applyFont="1" applyFill="1"/>
    <xf numFmtId="189" fontId="5" fillId="0" borderId="0" xfId="0" applyNumberFormat="1" applyFont="1"/>
    <xf numFmtId="190" fontId="5" fillId="0" borderId="0" xfId="0" applyNumberFormat="1" applyFont="1"/>
    <xf numFmtId="0" fontId="14" fillId="0" borderId="0" xfId="10" applyFont="1" applyAlignment="1">
      <alignment horizontal="center"/>
    </xf>
    <xf numFmtId="0" fontId="13" fillId="0" borderId="1" xfId="10" applyFont="1" applyBorder="1" applyAlignment="1">
      <alignment horizontal="centerContinuous"/>
    </xf>
    <xf numFmtId="0" fontId="13" fillId="0" borderId="0" xfId="10" applyFont="1" applyAlignment="1">
      <alignment horizontal="center"/>
    </xf>
    <xf numFmtId="0" fontId="14" fillId="0" borderId="1" xfId="10" applyFont="1" applyBorder="1" applyAlignment="1">
      <alignment horizontal="center"/>
    </xf>
    <xf numFmtId="187" fontId="14" fillId="0" borderId="1" xfId="10" applyNumberFormat="1" applyFont="1" applyBorder="1" applyAlignment="1">
      <alignment horizontal="center"/>
    </xf>
    <xf numFmtId="186" fontId="0" fillId="0" borderId="0" xfId="0" applyNumberFormat="1"/>
    <xf numFmtId="183" fontId="13" fillId="0" borderId="0" xfId="10" applyNumberFormat="1" applyFont="1" applyAlignment="1">
      <alignment horizontal="center"/>
    </xf>
    <xf numFmtId="189" fontId="0" fillId="0" borderId="0" xfId="0" applyNumberFormat="1"/>
    <xf numFmtId="173" fontId="0" fillId="0" borderId="0" xfId="0" applyNumberFormat="1"/>
    <xf numFmtId="43" fontId="0" fillId="0" borderId="0" xfId="0" applyNumberFormat="1"/>
    <xf numFmtId="0" fontId="13" fillId="0" borderId="0" xfId="10" applyFont="1" applyAlignment="1">
      <alignment horizontal="centerContinuous"/>
    </xf>
    <xf numFmtId="183" fontId="3" fillId="4" borderId="0" xfId="10" applyNumberFormat="1" applyFont="1" applyFill="1" applyAlignment="1">
      <alignment horizontal="center"/>
    </xf>
    <xf numFmtId="0" fontId="1" fillId="0" borderId="0" xfId="0" applyFont="1"/>
    <xf numFmtId="43" fontId="14" fillId="0" borderId="0" xfId="10" applyNumberFormat="1" applyFont="1" applyAlignment="1">
      <alignment horizontal="center"/>
    </xf>
    <xf numFmtId="0" fontId="6" fillId="0" borderId="0" xfId="10" applyFont="1"/>
    <xf numFmtId="0" fontId="6" fillId="0" borderId="0" xfId="10" applyFont="1" applyAlignment="1">
      <alignment horizontal="center"/>
    </xf>
    <xf numFmtId="0" fontId="6" fillId="0" borderId="0" xfId="10" applyFont="1" applyAlignment="1">
      <alignment horizontal="right"/>
    </xf>
    <xf numFmtId="0" fontId="22" fillId="2" borderId="0" xfId="11" applyFont="1" applyFill="1" applyAlignment="1">
      <alignment horizontal="centerContinuous"/>
    </xf>
    <xf numFmtId="0" fontId="6" fillId="0" borderId="0" xfId="10" applyFont="1" applyAlignment="1">
      <alignment horizontal="centerContinuous"/>
    </xf>
    <xf numFmtId="0" fontId="6" fillId="0" borderId="0" xfId="12" applyFont="1" applyAlignment="1">
      <alignment horizontal="center"/>
    </xf>
    <xf numFmtId="0" fontId="6" fillId="0" borderId="1" xfId="10" applyFont="1" applyBorder="1" applyAlignment="1">
      <alignment horizontal="left"/>
    </xf>
    <xf numFmtId="0" fontId="6" fillId="0" borderId="1" xfId="10" applyFont="1" applyBorder="1" applyAlignment="1">
      <alignment horizontal="center"/>
    </xf>
    <xf numFmtId="0" fontId="6" fillId="0" borderId="1" xfId="12" applyFont="1" applyBorder="1" applyAlignment="1">
      <alignment horizontal="center"/>
    </xf>
    <xf numFmtId="0" fontId="6" fillId="0" borderId="0" xfId="10" applyFont="1" applyAlignment="1">
      <alignment horizontal="left"/>
    </xf>
    <xf numFmtId="0" fontId="5" fillId="0" borderId="0" xfId="10" applyFont="1"/>
    <xf numFmtId="166" fontId="5" fillId="0" borderId="0" xfId="3" applyNumberFormat="1" applyFont="1" applyFill="1" applyBorder="1" applyAlignment="1" applyProtection="1">
      <alignment horizontal="right"/>
    </xf>
    <xf numFmtId="177" fontId="5" fillId="0" borderId="0" xfId="10" applyNumberFormat="1" applyFont="1" applyAlignment="1">
      <alignment horizontal="center"/>
    </xf>
    <xf numFmtId="9" fontId="5" fillId="0" borderId="0" xfId="10" applyNumberFormat="1" applyFont="1" applyAlignment="1">
      <alignment horizontal="center"/>
    </xf>
    <xf numFmtId="188" fontId="5" fillId="0" borderId="0" xfId="10" applyNumberFormat="1" applyFont="1" applyAlignment="1">
      <alignment horizontal="center"/>
    </xf>
    <xf numFmtId="166" fontId="5" fillId="0" borderId="0" xfId="10" applyNumberFormat="1" applyFont="1"/>
    <xf numFmtId="0" fontId="5" fillId="0" borderId="0" xfId="10" applyFont="1" applyAlignment="1">
      <alignment horizontal="center"/>
    </xf>
    <xf numFmtId="164" fontId="6" fillId="3" borderId="0" xfId="1" applyNumberFormat="1" applyFont="1" applyFill="1" applyBorder="1" applyAlignment="1">
      <alignment horizontal="left"/>
    </xf>
    <xf numFmtId="166" fontId="5" fillId="3" borderId="0" xfId="10" applyNumberFormat="1" applyFont="1" applyFill="1" applyAlignment="1">
      <alignment horizontal="center"/>
    </xf>
    <xf numFmtId="0" fontId="6" fillId="3" borderId="0" xfId="10" applyFont="1" applyFill="1"/>
    <xf numFmtId="177" fontId="6" fillId="3" borderId="0" xfId="10" applyNumberFormat="1" applyFont="1" applyFill="1" applyAlignment="1">
      <alignment horizontal="center"/>
    </xf>
    <xf numFmtId="9" fontId="6" fillId="3" borderId="0" xfId="10" applyNumberFormat="1" applyFont="1" applyFill="1" applyAlignment="1">
      <alignment horizontal="center"/>
    </xf>
    <xf numFmtId="166" fontId="1" fillId="0" borderId="0" xfId="0" applyNumberFormat="1" applyFont="1"/>
    <xf numFmtId="191" fontId="5" fillId="0" borderId="0" xfId="3" applyNumberFormat="1" applyFont="1" applyFill="1" applyBorder="1" applyAlignment="1" applyProtection="1">
      <alignment horizontal="right"/>
    </xf>
    <xf numFmtId="178" fontId="3" fillId="4" borderId="0" xfId="0" applyNumberFormat="1" applyFont="1" applyFill="1" applyAlignment="1">
      <alignment horizontal="center"/>
    </xf>
    <xf numFmtId="0" fontId="3" fillId="0" borderId="0" xfId="0" applyFont="1"/>
    <xf numFmtId="186" fontId="3" fillId="0" borderId="0" xfId="0" applyNumberFormat="1" applyFont="1"/>
    <xf numFmtId="183" fontId="3" fillId="0" borderId="0" xfId="10" applyNumberFormat="1" applyFont="1" applyAlignment="1">
      <alignment horizontal="center"/>
    </xf>
    <xf numFmtId="189" fontId="3" fillId="0" borderId="0" xfId="0" applyNumberFormat="1" applyFont="1"/>
    <xf numFmtId="0" fontId="5" fillId="0" borderId="0" xfId="0" applyFont="1" applyAlignment="1">
      <alignment horizontal="center"/>
    </xf>
    <xf numFmtId="190" fontId="3" fillId="0" borderId="0" xfId="0" applyNumberFormat="1" applyFont="1"/>
    <xf numFmtId="178" fontId="3" fillId="0" borderId="0" xfId="0" applyNumberFormat="1" applyFont="1" applyAlignment="1">
      <alignment horizontal="center"/>
    </xf>
    <xf numFmtId="189" fontId="5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92" fontId="0" fillId="0" borderId="0" xfId="0" applyNumberFormat="1"/>
    <xf numFmtId="186" fontId="5" fillId="0" borderId="0" xfId="0" applyNumberFormat="1" applyFont="1"/>
    <xf numFmtId="183" fontId="5" fillId="0" borderId="0" xfId="10" applyNumberFormat="1" applyFont="1" applyAlignment="1">
      <alignment horizontal="center"/>
    </xf>
    <xf numFmtId="193" fontId="5" fillId="0" borderId="0" xfId="0" applyNumberFormat="1" applyFont="1"/>
    <xf numFmtId="0" fontId="3" fillId="0" borderId="0" xfId="0" applyFont="1" applyAlignment="1">
      <alignment horizontal="center"/>
    </xf>
    <xf numFmtId="189" fontId="1" fillId="0" borderId="0" xfId="0" applyNumberFormat="1" applyFont="1"/>
    <xf numFmtId="189" fontId="1" fillId="0" borderId="0" xfId="0" applyNumberFormat="1" applyFont="1" applyAlignment="1">
      <alignment horizontal="center"/>
    </xf>
    <xf numFmtId="0" fontId="2" fillId="3" borderId="0" xfId="0" applyFont="1" applyFill="1"/>
    <xf numFmtId="189" fontId="2" fillId="3" borderId="0" xfId="0" applyNumberFormat="1" applyFont="1" applyFill="1" applyAlignment="1">
      <alignment horizontal="center"/>
    </xf>
    <xf numFmtId="189" fontId="2" fillId="3" borderId="0" xfId="0" applyNumberFormat="1" applyFont="1" applyFill="1"/>
    <xf numFmtId="180" fontId="3" fillId="0" borderId="0" xfId="0" applyNumberFormat="1" applyFont="1" applyAlignment="1">
      <alignment horizontal="left"/>
    </xf>
    <xf numFmtId="0" fontId="22" fillId="2" borderId="0" xfId="11" applyFont="1" applyFill="1" applyAlignment="1">
      <alignment horizontal="center"/>
    </xf>
    <xf numFmtId="0" fontId="0" fillId="3" borderId="0" xfId="0" applyFill="1"/>
    <xf numFmtId="0" fontId="14" fillId="0" borderId="1" xfId="10" applyFont="1" applyBorder="1" applyAlignment="1">
      <alignment horizontal="left"/>
    </xf>
    <xf numFmtId="0" fontId="14" fillId="0" borderId="1" xfId="10" applyFont="1" applyBorder="1" applyAlignment="1">
      <alignment horizontal="right"/>
    </xf>
    <xf numFmtId="183" fontId="3" fillId="4" borderId="0" xfId="0" applyNumberFormat="1" applyFont="1" applyFill="1"/>
    <xf numFmtId="0" fontId="0" fillId="0" borderId="0" xfId="0" applyAlignment="1">
      <alignment horizontal="center"/>
    </xf>
    <xf numFmtId="183" fontId="3" fillId="4" borderId="0" xfId="0" applyNumberFormat="1" applyFont="1" applyFill="1" applyAlignment="1">
      <alignment horizontal="center"/>
    </xf>
    <xf numFmtId="189" fontId="0" fillId="4" borderId="0" xfId="0" applyNumberFormat="1" applyFill="1"/>
    <xf numFmtId="189" fontId="3" fillId="4" borderId="0" xfId="0" applyNumberFormat="1" applyFont="1" applyFill="1" applyAlignment="1">
      <alignment horizontal="center"/>
    </xf>
    <xf numFmtId="180" fontId="5" fillId="0" borderId="0" xfId="10" applyNumberFormat="1" applyFont="1"/>
    <xf numFmtId="192" fontId="3" fillId="0" borderId="0" xfId="0" applyNumberFormat="1" applyFont="1" applyAlignment="1">
      <alignment horizontal="center"/>
    </xf>
    <xf numFmtId="179" fontId="6" fillId="0" borderId="0" xfId="3" applyNumberFormat="1" applyFont="1" applyFill="1" applyBorder="1" applyAlignment="1">
      <alignment horizontal="right"/>
    </xf>
    <xf numFmtId="179" fontId="5" fillId="0" borderId="0" xfId="3" applyNumberFormat="1" applyFont="1" applyFill="1" applyBorder="1" applyAlignment="1">
      <alignment horizontal="right"/>
    </xf>
    <xf numFmtId="179" fontId="6" fillId="3" borderId="0" xfId="3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179" fontId="5" fillId="0" borderId="8" xfId="3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79" fontId="0" fillId="0" borderId="0" xfId="0" applyNumberFormat="1"/>
    <xf numFmtId="0" fontId="5" fillId="0" borderId="0" xfId="0" applyFont="1" applyAlignment="1">
      <alignment horizontal="left"/>
    </xf>
    <xf numFmtId="180" fontId="5" fillId="0" borderId="0" xfId="0" applyNumberFormat="1" applyFont="1" applyAlignment="1">
      <alignment horizontal="left"/>
    </xf>
    <xf numFmtId="164" fontId="5" fillId="0" borderId="0" xfId="10" applyNumberFormat="1" applyFont="1" applyAlignment="1">
      <alignment horizontal="right"/>
    </xf>
    <xf numFmtId="166" fontId="5" fillId="0" borderId="1" xfId="3" applyNumberFormat="1" applyFont="1" applyFill="1" applyBorder="1" applyAlignment="1" applyProtection="1">
      <alignment horizontal="right"/>
    </xf>
    <xf numFmtId="179" fontId="3" fillId="4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23" fillId="2" borderId="0" xfId="4" applyFont="1" applyFill="1" applyAlignment="1">
      <alignment horizontal="centerContinuous"/>
    </xf>
    <xf numFmtId="0" fontId="24" fillId="2" borderId="0" xfId="4" applyFont="1" applyFill="1" applyAlignment="1">
      <alignment horizontal="centerContinuous"/>
    </xf>
    <xf numFmtId="0" fontId="25" fillId="0" borderId="0" xfId="4" applyFont="1"/>
    <xf numFmtId="172" fontId="23" fillId="2" borderId="0" xfId="4" applyNumberFormat="1" applyFont="1" applyFill="1" applyAlignment="1">
      <alignment horizontal="centerContinuous"/>
    </xf>
    <xf numFmtId="0" fontId="26" fillId="0" borderId="0" xfId="2" applyFont="1" applyProtection="1"/>
    <xf numFmtId="0" fontId="25" fillId="0" borderId="0" xfId="4" applyFont="1" applyAlignment="1">
      <alignment horizontal="center"/>
    </xf>
    <xf numFmtId="0" fontId="29" fillId="0" borderId="0" xfId="2" applyFont="1" applyFill="1" applyBorder="1" applyProtection="1"/>
    <xf numFmtId="0" fontId="25" fillId="0" borderId="0" xfId="2" applyFont="1" applyProtection="1"/>
    <xf numFmtId="167" fontId="28" fillId="0" borderId="0" xfId="3" applyNumberFormat="1" applyFont="1" applyBorder="1"/>
    <xf numFmtId="0" fontId="27" fillId="0" borderId="1" xfId="2" applyFont="1" applyFill="1" applyBorder="1" applyProtection="1"/>
    <xf numFmtId="0" fontId="25" fillId="0" borderId="0" xfId="2" applyFont="1" applyBorder="1" applyProtection="1"/>
    <xf numFmtId="0" fontId="25" fillId="0" borderId="0" xfId="2" applyFont="1" applyFill="1" applyBorder="1" applyProtection="1"/>
    <xf numFmtId="170" fontId="32" fillId="4" borderId="1" xfId="5" applyNumberFormat="1" applyFont="1" applyFill="1" applyBorder="1" applyAlignment="1">
      <alignment horizontal="right" vertical="distributed"/>
    </xf>
    <xf numFmtId="0" fontId="26" fillId="0" borderId="0" xfId="4" applyFont="1"/>
    <xf numFmtId="168" fontId="27" fillId="0" borderId="2" xfId="5" applyNumberFormat="1" applyFont="1" applyFill="1" applyBorder="1" applyAlignment="1">
      <alignment horizontal="right" vertical="distributed"/>
    </xf>
    <xf numFmtId="0" fontId="33" fillId="0" borderId="0" xfId="2" applyFont="1" applyFill="1" applyBorder="1" applyProtection="1"/>
    <xf numFmtId="171" fontId="28" fillId="0" borderId="1" xfId="2" applyNumberFormat="1" applyFont="1" applyFill="1" applyBorder="1" applyProtection="1"/>
    <xf numFmtId="174" fontId="28" fillId="0" borderId="0" xfId="4" applyNumberFormat="1" applyFont="1"/>
    <xf numFmtId="167" fontId="34" fillId="0" borderId="0" xfId="3" applyNumberFormat="1" applyFont="1" applyFill="1" applyBorder="1" applyAlignment="1">
      <alignment horizontal="right"/>
    </xf>
    <xf numFmtId="173" fontId="28" fillId="0" borderId="0" xfId="4" applyNumberFormat="1" applyFont="1"/>
    <xf numFmtId="0" fontId="26" fillId="0" borderId="0" xfId="2" applyFont="1" applyFill="1" applyBorder="1" applyProtection="1"/>
    <xf numFmtId="179" fontId="27" fillId="0" borderId="2" xfId="3" applyNumberFormat="1" applyFont="1" applyFill="1" applyBorder="1" applyAlignment="1">
      <alignment horizontal="right"/>
    </xf>
    <xf numFmtId="170" fontId="27" fillId="0" borderId="2" xfId="5" applyNumberFormat="1" applyFont="1" applyFill="1" applyBorder="1" applyAlignment="1">
      <alignment horizontal="right" vertical="distributed"/>
    </xf>
    <xf numFmtId="164" fontId="23" fillId="2" borderId="0" xfId="1" applyNumberFormat="1" applyFont="1" applyFill="1" applyBorder="1" applyAlignment="1" applyProtection="1">
      <alignment horizontal="centerContinuous"/>
    </xf>
    <xf numFmtId="175" fontId="24" fillId="2" borderId="0" xfId="2" applyNumberFormat="1" applyFont="1" applyFill="1" applyBorder="1" applyAlignment="1" applyProtection="1">
      <alignment horizontal="centerContinuous"/>
    </xf>
    <xf numFmtId="0" fontId="24" fillId="2" borderId="0" xfId="2" applyFont="1" applyFill="1" applyAlignment="1" applyProtection="1">
      <alignment horizontal="centerContinuous"/>
    </xf>
    <xf numFmtId="0" fontId="27" fillId="0" borderId="1" xfId="2" applyFont="1" applyBorder="1" applyAlignment="1" applyProtection="1">
      <alignment horizontal="centerContinuous"/>
    </xf>
    <xf numFmtId="176" fontId="35" fillId="0" borderId="0" xfId="2" applyNumberFormat="1" applyFont="1" applyFill="1" applyBorder="1" applyProtection="1"/>
    <xf numFmtId="177" fontId="27" fillId="3" borderId="1" xfId="2" applyNumberFormat="1" applyFont="1" applyFill="1" applyBorder="1" applyAlignment="1" applyProtection="1">
      <alignment horizontal="center"/>
    </xf>
    <xf numFmtId="177" fontId="36" fillId="3" borderId="1" xfId="2" applyNumberFormat="1" applyFont="1" applyFill="1" applyBorder="1" applyAlignment="1" applyProtection="1">
      <alignment horizontal="center"/>
    </xf>
    <xf numFmtId="177" fontId="27" fillId="0" borderId="0" xfId="2" applyNumberFormat="1" applyFont="1" applyBorder="1" applyAlignment="1" applyProtection="1">
      <alignment horizontal="center"/>
    </xf>
    <xf numFmtId="164" fontId="27" fillId="3" borderId="0" xfId="1" applyNumberFormat="1" applyFont="1" applyFill="1" applyBorder="1"/>
    <xf numFmtId="38" fontId="25" fillId="0" borderId="3" xfId="2" applyNumberFormat="1" applyFont="1" applyBorder="1" applyAlignment="1" applyProtection="1">
      <alignment horizontal="center"/>
    </xf>
    <xf numFmtId="38" fontId="25" fillId="0" borderId="0" xfId="2" applyNumberFormat="1" applyFont="1" applyBorder="1" applyAlignment="1" applyProtection="1">
      <alignment horizontal="center"/>
    </xf>
    <xf numFmtId="38" fontId="24" fillId="2" borderId="0" xfId="2" applyNumberFormat="1" applyFont="1" applyFill="1" applyBorder="1" applyAlignment="1" applyProtection="1">
      <alignment horizontal="center"/>
    </xf>
    <xf numFmtId="164" fontId="36" fillId="3" borderId="0" xfId="1" applyNumberFormat="1" applyFont="1" applyFill="1" applyBorder="1"/>
    <xf numFmtId="38" fontId="26" fillId="0" borderId="0" xfId="2" applyNumberFormat="1" applyFont="1" applyFill="1" applyBorder="1" applyAlignment="1" applyProtection="1">
      <alignment horizontal="center"/>
    </xf>
    <xf numFmtId="0" fontId="31" fillId="0" borderId="0" xfId="0" applyFont="1"/>
    <xf numFmtId="0" fontId="26" fillId="0" borderId="0" xfId="2" applyFont="1" applyBorder="1" applyAlignment="1" applyProtection="1">
      <alignment horizontal="right" vertical="distributed" textRotation="90"/>
      <protection locked="0"/>
    </xf>
    <xf numFmtId="164" fontId="25" fillId="0" borderId="6" xfId="2" applyNumberFormat="1" applyFont="1" applyBorder="1" applyAlignment="1" applyProtection="1">
      <alignment horizontal="center"/>
    </xf>
    <xf numFmtId="164" fontId="25" fillId="0" borderId="7" xfId="2" applyNumberFormat="1" applyFont="1" applyBorder="1" applyAlignment="1" applyProtection="1">
      <alignment horizontal="center"/>
    </xf>
    <xf numFmtId="40" fontId="25" fillId="0" borderId="3" xfId="2" applyNumberFormat="1" applyFont="1" applyBorder="1" applyAlignment="1" applyProtection="1">
      <alignment horizontal="center"/>
    </xf>
    <xf numFmtId="40" fontId="25" fillId="0" borderId="0" xfId="2" applyNumberFormat="1" applyFont="1" applyBorder="1" applyAlignment="1" applyProtection="1">
      <alignment horizontal="center"/>
    </xf>
    <xf numFmtId="164" fontId="25" fillId="0" borderId="3" xfId="2" applyNumberFormat="1" applyFont="1" applyBorder="1" applyAlignment="1" applyProtection="1">
      <alignment horizontal="center"/>
    </xf>
    <xf numFmtId="164" fontId="24" fillId="2" borderId="0" xfId="2" applyNumberFormat="1" applyFont="1" applyFill="1" applyBorder="1" applyAlignment="1" applyProtection="1">
      <alignment horizontal="center"/>
    </xf>
    <xf numFmtId="164" fontId="25" fillId="0" borderId="0" xfId="2" applyNumberFormat="1" applyFont="1" applyBorder="1" applyAlignment="1" applyProtection="1">
      <alignment horizontal="center"/>
    </xf>
    <xf numFmtId="40" fontId="24" fillId="2" borderId="0" xfId="2" applyNumberFormat="1" applyFont="1" applyFill="1" applyBorder="1" applyAlignment="1" applyProtection="1">
      <alignment horizontal="center"/>
    </xf>
    <xf numFmtId="164" fontId="26" fillId="0" borderId="0" xfId="2" applyNumberFormat="1" applyFont="1" applyFill="1" applyBorder="1" applyAlignment="1" applyProtection="1">
      <alignment horizontal="center"/>
    </xf>
    <xf numFmtId="40" fontId="26" fillId="0" borderId="0" xfId="2" applyNumberFormat="1" applyFont="1" applyFill="1" applyBorder="1" applyAlignment="1" applyProtection="1">
      <alignment horizontal="center"/>
    </xf>
    <xf numFmtId="164" fontId="25" fillId="0" borderId="0" xfId="2" applyNumberFormat="1" applyFont="1" applyFill="1" applyBorder="1" applyAlignment="1" applyProtection="1">
      <alignment horizontal="center"/>
    </xf>
    <xf numFmtId="176" fontId="35" fillId="0" borderId="0" xfId="2" applyNumberFormat="1" applyFont="1" applyFill="1" applyBorder="1" applyAlignment="1" applyProtection="1">
      <alignment horizontal="right"/>
    </xf>
    <xf numFmtId="177" fontId="25" fillId="0" borderId="6" xfId="2" applyNumberFormat="1" applyFont="1" applyBorder="1" applyAlignment="1" applyProtection="1">
      <alignment horizontal="center"/>
    </xf>
    <xf numFmtId="177" fontId="25" fillId="0" borderId="7" xfId="2" applyNumberFormat="1" applyFont="1" applyBorder="1" applyAlignment="1" applyProtection="1">
      <alignment horizontal="center"/>
    </xf>
    <xf numFmtId="177" fontId="25" fillId="0" borderId="3" xfId="2" applyNumberFormat="1" applyFont="1" applyBorder="1" applyAlignment="1" applyProtection="1">
      <alignment horizontal="center"/>
    </xf>
    <xf numFmtId="177" fontId="24" fillId="2" borderId="0" xfId="2" applyNumberFormat="1" applyFont="1" applyFill="1" applyBorder="1" applyAlignment="1" applyProtection="1">
      <alignment horizontal="center"/>
    </xf>
    <xf numFmtId="177" fontId="25" fillId="0" borderId="0" xfId="2" applyNumberFormat="1" applyFont="1" applyBorder="1" applyAlignment="1" applyProtection="1">
      <alignment horizontal="center"/>
    </xf>
    <xf numFmtId="177" fontId="26" fillId="0" borderId="0" xfId="2" applyNumberFormat="1" applyFont="1" applyFill="1" applyBorder="1" applyAlignment="1" applyProtection="1">
      <alignment horizontal="center"/>
    </xf>
    <xf numFmtId="0" fontId="23" fillId="2" borderId="0" xfId="2" applyFont="1" applyFill="1" applyProtection="1"/>
    <xf numFmtId="0" fontId="23" fillId="2" borderId="0" xfId="4" applyFont="1" applyFill="1"/>
    <xf numFmtId="0" fontId="27" fillId="2" borderId="0" xfId="4" applyFont="1" applyFill="1"/>
    <xf numFmtId="0" fontId="37" fillId="0" borderId="0" xfId="4" applyFont="1"/>
    <xf numFmtId="0" fontId="26" fillId="0" borderId="0" xfId="4" applyFont="1" applyAlignment="1">
      <alignment horizontal="center"/>
    </xf>
    <xf numFmtId="0" fontId="26" fillId="0" borderId="1" xfId="4" applyFont="1" applyBorder="1"/>
    <xf numFmtId="0" fontId="26" fillId="0" borderId="1" xfId="4" applyFont="1" applyBorder="1" applyAlignment="1">
      <alignment horizontal="center"/>
    </xf>
    <xf numFmtId="179" fontId="32" fillId="4" borderId="0" xfId="3" applyNumberFormat="1" applyFont="1" applyFill="1"/>
    <xf numFmtId="0" fontId="32" fillId="4" borderId="0" xfId="0" applyFont="1" applyFill="1"/>
    <xf numFmtId="166" fontId="32" fillId="4" borderId="0" xfId="3" applyNumberFormat="1" applyFont="1" applyFill="1"/>
    <xf numFmtId="168" fontId="28" fillId="0" borderId="0" xfId="5" applyNumberFormat="1" applyFont="1" applyBorder="1" applyAlignment="1">
      <alignment horizontal="right" vertical="distributed"/>
    </xf>
    <xf numFmtId="168" fontId="32" fillId="4" borderId="0" xfId="5" applyNumberFormat="1" applyFont="1" applyFill="1" applyBorder="1" applyAlignment="1">
      <alignment horizontal="right" vertical="distributed"/>
    </xf>
    <xf numFmtId="179" fontId="28" fillId="0" borderId="0" xfId="3" applyNumberFormat="1" applyFont="1" applyFill="1"/>
    <xf numFmtId="0" fontId="38" fillId="0" borderId="0" xfId="4" applyFont="1"/>
    <xf numFmtId="0" fontId="28" fillId="0" borderId="0" xfId="2" applyFont="1" applyProtection="1"/>
    <xf numFmtId="0" fontId="37" fillId="0" borderId="0" xfId="2" applyFont="1" applyFill="1" applyBorder="1" applyProtection="1"/>
    <xf numFmtId="181" fontId="39" fillId="0" borderId="0" xfId="6" applyNumberFormat="1" applyFont="1"/>
    <xf numFmtId="176" fontId="39" fillId="0" borderId="0" xfId="6" applyNumberFormat="1" applyFont="1"/>
    <xf numFmtId="164" fontId="28" fillId="0" borderId="0" xfId="6" applyNumberFormat="1" applyFont="1"/>
    <xf numFmtId="164" fontId="39" fillId="0" borderId="0" xfId="6" applyNumberFormat="1" applyFont="1"/>
    <xf numFmtId="40" fontId="28" fillId="0" borderId="0" xfId="6" applyNumberFormat="1" applyFont="1"/>
    <xf numFmtId="0" fontId="28" fillId="0" borderId="0" xfId="2" applyFont="1" applyFill="1" applyBorder="1" applyAlignment="1" applyProtection="1">
      <alignment vertical="top"/>
    </xf>
    <xf numFmtId="0" fontId="26" fillId="3" borderId="0" xfId="4" applyFont="1" applyFill="1"/>
    <xf numFmtId="179" fontId="27" fillId="3" borderId="0" xfId="3" applyNumberFormat="1" applyFont="1" applyFill="1"/>
    <xf numFmtId="0" fontId="37" fillId="3" borderId="0" xfId="4" applyFont="1" applyFill="1"/>
    <xf numFmtId="168" fontId="27" fillId="3" borderId="0" xfId="5" applyNumberFormat="1" applyFont="1" applyFill="1" applyBorder="1" applyAlignment="1">
      <alignment horizontal="right" vertical="distributed"/>
    </xf>
    <xf numFmtId="164" fontId="28" fillId="0" borderId="0" xfId="2" applyNumberFormat="1" applyFont="1" applyProtection="1"/>
    <xf numFmtId="179" fontId="27" fillId="0" borderId="2" xfId="3" applyNumberFormat="1" applyFont="1" applyFill="1" applyBorder="1"/>
    <xf numFmtId="40" fontId="37" fillId="0" borderId="0" xfId="4" applyNumberFormat="1" applyFont="1"/>
    <xf numFmtId="164" fontId="37" fillId="0" borderId="0" xfId="4" applyNumberFormat="1" applyFont="1"/>
    <xf numFmtId="182" fontId="27" fillId="0" borderId="0" xfId="4" applyNumberFormat="1" applyFont="1"/>
    <xf numFmtId="164" fontId="27" fillId="3" borderId="1" xfId="2" applyNumberFormat="1" applyFont="1" applyFill="1" applyBorder="1" applyAlignment="1" applyProtection="1">
      <alignment horizontal="center"/>
    </xf>
    <xf numFmtId="164" fontId="36" fillId="3" borderId="1" xfId="2" applyNumberFormat="1" applyFont="1" applyFill="1" applyBorder="1" applyAlignment="1" applyProtection="1">
      <alignment horizontal="center"/>
    </xf>
    <xf numFmtId="0" fontId="28" fillId="0" borderId="1" xfId="2" applyFont="1" applyBorder="1" applyProtection="1"/>
    <xf numFmtId="0" fontId="40" fillId="2" borderId="1" xfId="7" applyFont="1" applyFill="1" applyBorder="1" applyAlignment="1">
      <alignment horizontal="centerContinuous"/>
    </xf>
    <xf numFmtId="0" fontId="27" fillId="0" borderId="0" xfId="8" applyFont="1" applyAlignment="1">
      <alignment horizontal="center"/>
    </xf>
    <xf numFmtId="0" fontId="27" fillId="0" borderId="0" xfId="7" applyFont="1"/>
    <xf numFmtId="184" fontId="32" fillId="0" borderId="0" xfId="3" applyNumberFormat="1" applyFont="1" applyFill="1" applyBorder="1"/>
    <xf numFmtId="0" fontId="36" fillId="0" borderId="0" xfId="8" applyFont="1" applyAlignment="1">
      <alignment horizontal="center"/>
    </xf>
    <xf numFmtId="14" fontId="27" fillId="0" borderId="1" xfId="8" applyNumberFormat="1" applyFont="1" applyBorder="1" applyAlignment="1">
      <alignment horizontal="center"/>
    </xf>
    <xf numFmtId="0" fontId="28" fillId="0" borderId="0" xfId="8" applyFont="1"/>
    <xf numFmtId="183" fontId="32" fillId="4" borderId="0" xfId="3" applyNumberFormat="1" applyFont="1" applyFill="1" applyBorder="1"/>
    <xf numFmtId="184" fontId="32" fillId="4" borderId="0" xfId="3" applyNumberFormat="1" applyFont="1" applyFill="1" applyBorder="1"/>
    <xf numFmtId="185" fontId="28" fillId="0" borderId="0" xfId="8" applyNumberFormat="1" applyFont="1" applyAlignment="1">
      <alignment horizontal="right"/>
    </xf>
    <xf numFmtId="173" fontId="28" fillId="0" borderId="0" xfId="8" applyNumberFormat="1" applyFont="1" applyAlignment="1">
      <alignment horizontal="right"/>
    </xf>
    <xf numFmtId="186" fontId="32" fillId="4" borderId="0" xfId="3" applyNumberFormat="1" applyFont="1" applyFill="1" applyBorder="1"/>
    <xf numFmtId="185" fontId="28" fillId="0" borderId="0" xfId="8" quotePrefix="1" applyNumberFormat="1" applyFont="1" applyAlignment="1">
      <alignment horizontal="right"/>
    </xf>
    <xf numFmtId="183" fontId="32" fillId="4" borderId="0" xfId="3" applyNumberFormat="1" applyFont="1" applyFill="1"/>
    <xf numFmtId="186" fontId="32" fillId="4" borderId="0" xfId="3" applyNumberFormat="1" applyFont="1" applyFill="1"/>
    <xf numFmtId="183" fontId="32" fillId="4" borderId="1" xfId="3" applyNumberFormat="1" applyFont="1" applyFill="1" applyBorder="1"/>
    <xf numFmtId="186" fontId="32" fillId="4" borderId="1" xfId="3" applyNumberFormat="1" applyFont="1" applyFill="1" applyBorder="1"/>
    <xf numFmtId="185" fontId="28" fillId="0" borderId="1" xfId="8" applyNumberFormat="1" applyFont="1" applyBorder="1" applyAlignment="1">
      <alignment horizontal="right"/>
    </xf>
    <xf numFmtId="173" fontId="28" fillId="0" borderId="1" xfId="8" applyNumberFormat="1" applyFont="1" applyBorder="1" applyAlignment="1">
      <alignment horizontal="right"/>
    </xf>
    <xf numFmtId="0" fontId="27" fillId="0" borderId="0" xfId="8" applyFont="1"/>
    <xf numFmtId="185" fontId="27" fillId="0" borderId="0" xfId="8" applyNumberFormat="1" applyFont="1"/>
    <xf numFmtId="173" fontId="27" fillId="0" borderId="0" xfId="8" applyNumberFormat="1" applyFont="1"/>
    <xf numFmtId="165" fontId="27" fillId="0" borderId="0" xfId="3" applyNumberFormat="1" applyFont="1" applyFill="1"/>
    <xf numFmtId="0" fontId="28" fillId="0" borderId="0" xfId="7" applyFont="1"/>
    <xf numFmtId="0" fontId="28" fillId="0" borderId="0" xfId="2" applyFont="1" applyFill="1" applyProtection="1"/>
    <xf numFmtId="185" fontId="28" fillId="0" borderId="0" xfId="2" applyNumberFormat="1" applyFont="1" applyFill="1" applyBorder="1" applyProtection="1"/>
    <xf numFmtId="185" fontId="28" fillId="0" borderId="1" xfId="2" applyNumberFormat="1" applyFont="1" applyFill="1" applyBorder="1" applyProtection="1"/>
    <xf numFmtId="0" fontId="27" fillId="0" borderId="0" xfId="2" applyFont="1" applyFill="1" applyProtection="1"/>
    <xf numFmtId="185" fontId="27" fillId="0" borderId="0" xfId="2" applyNumberFormat="1" applyFont="1" applyFill="1" applyBorder="1" applyProtection="1"/>
    <xf numFmtId="0" fontId="28" fillId="0" borderId="0" xfId="9" applyFont="1"/>
    <xf numFmtId="185" fontId="32" fillId="4" borderId="1" xfId="2" applyNumberFormat="1" applyFont="1" applyFill="1" applyBorder="1" applyProtection="1"/>
    <xf numFmtId="171" fontId="5" fillId="0" borderId="4" xfId="4" applyNumberFormat="1" applyFont="1" applyBorder="1"/>
    <xf numFmtId="171" fontId="5" fillId="0" borderId="0" xfId="4" applyNumberFormat="1" applyFont="1"/>
    <xf numFmtId="191" fontId="3" fillId="4" borderId="0" xfId="0" applyNumberFormat="1" applyFont="1" applyFill="1"/>
    <xf numFmtId="191" fontId="0" fillId="0" borderId="0" xfId="0" applyNumberFormat="1"/>
    <xf numFmtId="191" fontId="5" fillId="0" borderId="4" xfId="0" applyNumberFormat="1" applyFont="1" applyBorder="1"/>
    <xf numFmtId="191" fontId="5" fillId="0" borderId="5" xfId="0" applyNumberFormat="1" applyFont="1" applyBorder="1"/>
    <xf numFmtId="191" fontId="0" fillId="0" borderId="1" xfId="0" applyNumberFormat="1" applyBorder="1"/>
    <xf numFmtId="191" fontId="2" fillId="0" borderId="0" xfId="0" applyNumberFormat="1" applyFont="1"/>
    <xf numFmtId="191" fontId="6" fillId="0" borderId="4" xfId="0" applyNumberFormat="1" applyFont="1" applyBorder="1"/>
    <xf numFmtId="191" fontId="6" fillId="3" borderId="4" xfId="0" applyNumberFormat="1" applyFont="1" applyFill="1" applyBorder="1"/>
    <xf numFmtId="191" fontId="6" fillId="3" borderId="0" xfId="0" applyNumberFormat="1" applyFont="1" applyFill="1"/>
    <xf numFmtId="191" fontId="27" fillId="0" borderId="0" xfId="3" applyNumberFormat="1" applyFont="1" applyFill="1" applyBorder="1"/>
    <xf numFmtId="191" fontId="30" fillId="0" borderId="0" xfId="1" applyNumberFormat="1" applyFont="1" applyProtection="1"/>
    <xf numFmtId="191" fontId="27" fillId="0" borderId="1" xfId="2" applyNumberFormat="1" applyFont="1" applyFill="1" applyBorder="1" applyProtection="1"/>
    <xf numFmtId="191" fontId="28" fillId="0" borderId="0" xfId="3" applyNumberFormat="1" applyFont="1" applyFill="1"/>
    <xf numFmtId="194" fontId="27" fillId="0" borderId="0" xfId="3" applyNumberFormat="1" applyFont="1" applyFill="1" applyBorder="1"/>
    <xf numFmtId="191" fontId="27" fillId="0" borderId="2" xfId="3" applyNumberFormat="1" applyFont="1" applyFill="1" applyBorder="1"/>
    <xf numFmtId="194" fontId="28" fillId="0" borderId="0" xfId="3" applyNumberFormat="1" applyFont="1" applyFill="1"/>
    <xf numFmtId="191" fontId="28" fillId="0" borderId="0" xfId="2" applyNumberFormat="1" applyFont="1" applyFill="1" applyBorder="1" applyProtection="1"/>
    <xf numFmtId="191" fontId="32" fillId="4" borderId="0" xfId="3" applyNumberFormat="1" applyFont="1" applyFill="1"/>
    <xf numFmtId="191" fontId="5" fillId="0" borderId="0" xfId="0" applyNumberFormat="1" applyFont="1"/>
    <xf numFmtId="191" fontId="5" fillId="0" borderId="1" xfId="0" applyNumberFormat="1" applyFont="1" applyBorder="1"/>
    <xf numFmtId="164" fontId="0" fillId="0" borderId="0" xfId="1" applyNumberFormat="1" applyFont="1" applyFill="1"/>
    <xf numFmtId="195" fontId="0" fillId="0" borderId="0" xfId="0" applyNumberFormat="1"/>
    <xf numFmtId="9" fontId="0" fillId="0" borderId="0" xfId="1" applyFont="1" applyFill="1"/>
    <xf numFmtId="178" fontId="2" fillId="0" borderId="0" xfId="0" applyNumberFormat="1" applyFont="1"/>
    <xf numFmtId="195" fontId="0" fillId="0" borderId="1" xfId="0" applyNumberFormat="1" applyBorder="1"/>
    <xf numFmtId="195" fontId="0" fillId="0" borderId="10" xfId="0" applyNumberFormat="1" applyBorder="1"/>
    <xf numFmtId="0" fontId="0" fillId="0" borderId="0" xfId="0" quotePrefix="1"/>
    <xf numFmtId="0" fontId="41" fillId="0" borderId="0" xfId="0" applyFont="1" applyAlignment="1">
      <alignment horizontal="right"/>
    </xf>
    <xf numFmtId="37" fontId="42" fillId="0" borderId="0" xfId="13" applyNumberFormat="1" applyFont="1" applyAlignment="1">
      <alignment horizontal="right"/>
    </xf>
    <xf numFmtId="197" fontId="0" fillId="0" borderId="0" xfId="0" applyNumberFormat="1"/>
    <xf numFmtId="0" fontId="44" fillId="0" borderId="0" xfId="0" applyFont="1"/>
    <xf numFmtId="43" fontId="11" fillId="0" borderId="0" xfId="4" applyNumberFormat="1" applyFont="1"/>
    <xf numFmtId="192" fontId="2" fillId="0" borderId="1" xfId="0" applyNumberFormat="1" applyFont="1" applyBorder="1"/>
    <xf numFmtId="192" fontId="2" fillId="0" borderId="0" xfId="0" applyNumberFormat="1" applyFont="1"/>
    <xf numFmtId="192" fontId="2" fillId="0" borderId="5" xfId="0" applyNumberFormat="1" applyFont="1" applyBorder="1"/>
    <xf numFmtId="191" fontId="3" fillId="0" borderId="0" xfId="0" applyNumberFormat="1" applyFont="1"/>
    <xf numFmtId="167" fontId="4" fillId="0" borderId="0" xfId="1" applyNumberFormat="1" applyFont="1" applyFill="1"/>
    <xf numFmtId="191" fontId="3" fillId="0" borderId="1" xfId="0" applyNumberFormat="1" applyFont="1" applyBorder="1"/>
    <xf numFmtId="191" fontId="5" fillId="5" borderId="1" xfId="0" applyNumberFormat="1" applyFont="1" applyFill="1" applyBorder="1"/>
    <xf numFmtId="184" fontId="32" fillId="5" borderId="0" xfId="3" applyNumberFormat="1" applyFont="1" applyFill="1" applyBorder="1"/>
    <xf numFmtId="191" fontId="3" fillId="5" borderId="0" xfId="0" applyNumberFormat="1" applyFont="1" applyFill="1"/>
    <xf numFmtId="0" fontId="3" fillId="5" borderId="0" xfId="0" applyFont="1" applyFill="1" applyAlignment="1">
      <alignment horizontal="right"/>
    </xf>
    <xf numFmtId="180" fontId="3" fillId="5" borderId="0" xfId="0" applyNumberFormat="1" applyFont="1" applyFill="1" applyAlignment="1">
      <alignment horizontal="right"/>
    </xf>
    <xf numFmtId="191" fontId="3" fillId="5" borderId="1" xfId="0" applyNumberFormat="1" applyFont="1" applyFill="1" applyBorder="1"/>
    <xf numFmtId="191" fontId="5" fillId="5" borderId="0" xfId="0" applyNumberFormat="1" applyFont="1" applyFill="1"/>
    <xf numFmtId="179" fontId="3" fillId="5" borderId="0" xfId="0" applyNumberFormat="1" applyFont="1" applyFill="1"/>
    <xf numFmtId="179" fontId="3" fillId="5" borderId="1" xfId="0" applyNumberFormat="1" applyFont="1" applyFill="1" applyBorder="1"/>
    <xf numFmtId="195" fontId="3" fillId="5" borderId="0" xfId="0" applyNumberFormat="1" applyFont="1" applyFill="1"/>
    <xf numFmtId="195" fontId="3" fillId="5" borderId="1" xfId="0" applyNumberFormat="1" applyFont="1" applyFill="1" applyBorder="1"/>
    <xf numFmtId="191" fontId="0" fillId="5" borderId="1" xfId="0" applyNumberFormat="1" applyFill="1" applyBorder="1"/>
    <xf numFmtId="191" fontId="28" fillId="0" borderId="0" xfId="0" applyNumberFormat="1" applyFont="1"/>
    <xf numFmtId="191" fontId="28" fillId="0" borderId="1" xfId="4" applyNumberFormat="1" applyFont="1" applyBorder="1"/>
    <xf numFmtId="0" fontId="32" fillId="4" borderId="0" xfId="0" applyFont="1" applyFill="1" applyAlignment="1">
      <alignment horizontal="right"/>
    </xf>
    <xf numFmtId="0" fontId="5" fillId="0" borderId="0" xfId="0" applyFont="1"/>
    <xf numFmtId="180" fontId="5" fillId="0" borderId="0" xfId="0" applyNumberFormat="1" applyFont="1" applyAlignment="1">
      <alignment horizontal="center"/>
    </xf>
    <xf numFmtId="0" fontId="43" fillId="0" borderId="11" xfId="0" applyFont="1" applyBorder="1"/>
    <xf numFmtId="197" fontId="43" fillId="0" borderId="10" xfId="0" applyNumberFormat="1" applyFont="1" applyBorder="1"/>
    <xf numFmtId="197" fontId="43" fillId="0" borderId="12" xfId="0" applyNumberFormat="1" applyFont="1" applyBorder="1"/>
    <xf numFmtId="0" fontId="43" fillId="0" borderId="6" xfId="0" applyFont="1" applyBorder="1"/>
    <xf numFmtId="197" fontId="43" fillId="0" borderId="7" xfId="0" applyNumberFormat="1" applyFont="1" applyBorder="1"/>
    <xf numFmtId="197" fontId="43" fillId="0" borderId="13" xfId="0" applyNumberFormat="1" applyFont="1" applyBorder="1"/>
    <xf numFmtId="0" fontId="43" fillId="0" borderId="14" xfId="0" applyFont="1" applyBorder="1"/>
    <xf numFmtId="197" fontId="43" fillId="0" borderId="1" xfId="0" applyNumberFormat="1" applyFont="1" applyBorder="1"/>
    <xf numFmtId="197" fontId="43" fillId="0" borderId="9" xfId="0" applyNumberFormat="1" applyFont="1" applyBorder="1"/>
    <xf numFmtId="0" fontId="43" fillId="0" borderId="3" xfId="0" applyFont="1" applyBorder="1"/>
    <xf numFmtId="197" fontId="43" fillId="0" borderId="0" xfId="0" applyNumberFormat="1" applyFont="1"/>
    <xf numFmtId="197" fontId="43" fillId="0" borderId="8" xfId="0" applyNumberFormat="1" applyFont="1" applyBorder="1"/>
    <xf numFmtId="196" fontId="43" fillId="0" borderId="7" xfId="0" applyNumberFormat="1" applyFont="1" applyBorder="1"/>
    <xf numFmtId="196" fontId="43" fillId="0" borderId="13" xfId="0" applyNumberFormat="1" applyFont="1" applyBorder="1"/>
    <xf numFmtId="196" fontId="43" fillId="0" borderId="0" xfId="0" applyNumberFormat="1" applyFont="1"/>
    <xf numFmtId="196" fontId="43" fillId="0" borderId="8" xfId="0" applyNumberFormat="1" applyFont="1" applyBorder="1"/>
    <xf numFmtId="196" fontId="43" fillId="0" borderId="1" xfId="0" applyNumberFormat="1" applyFont="1" applyBorder="1"/>
    <xf numFmtId="196" fontId="43" fillId="0" borderId="9" xfId="0" applyNumberFormat="1" applyFont="1" applyBorder="1"/>
    <xf numFmtId="179" fontId="6" fillId="0" borderId="4" xfId="0" applyNumberFormat="1" applyFont="1" applyBorder="1"/>
    <xf numFmtId="179" fontId="2" fillId="0" borderId="0" xfId="0" applyNumberFormat="1" applyFont="1"/>
    <xf numFmtId="0" fontId="4" fillId="5" borderId="0" xfId="0" applyFont="1" applyFill="1"/>
    <xf numFmtId="0" fontId="33" fillId="0" borderId="0" xfId="2" applyFont="1" applyFill="1" applyBorder="1" applyAlignment="1" applyProtection="1">
      <alignment horizontal="left" indent="1"/>
    </xf>
    <xf numFmtId="0" fontId="29" fillId="0" borderId="0" xfId="2" applyFont="1" applyFill="1" applyBorder="1" applyAlignment="1" applyProtection="1">
      <alignment horizontal="left" indent="1"/>
    </xf>
    <xf numFmtId="0" fontId="26" fillId="0" borderId="0" xfId="2" applyFont="1" applyFill="1" applyBorder="1" applyAlignment="1" applyProtection="1">
      <alignment horizontal="left" indent="1"/>
    </xf>
    <xf numFmtId="0" fontId="4" fillId="0" borderId="0" xfId="0" applyFont="1" applyAlignment="1">
      <alignment horizontal="left" indent="1"/>
    </xf>
    <xf numFmtId="0" fontId="26" fillId="0" borderId="0" xfId="4" applyFont="1" applyAlignment="1">
      <alignment horizontal="left" indent="1"/>
    </xf>
    <xf numFmtId="197" fontId="31" fillId="0" borderId="0" xfId="0" applyNumberFormat="1" applyFont="1"/>
    <xf numFmtId="0" fontId="4" fillId="0" borderId="0" xfId="0" applyFont="1" applyAlignment="1">
      <alignment horizontal="right"/>
    </xf>
    <xf numFmtId="166" fontId="43" fillId="0" borderId="0" xfId="0" applyNumberFormat="1" applyFont="1" applyAlignment="1">
      <alignment horizontal="right"/>
    </xf>
    <xf numFmtId="167" fontId="16" fillId="0" borderId="1" xfId="3" applyNumberFormat="1" applyFont="1" applyFill="1" applyBorder="1" applyAlignment="1">
      <alignment horizontal="right"/>
    </xf>
    <xf numFmtId="0" fontId="26" fillId="0" borderId="0" xfId="2" applyFont="1" applyBorder="1" applyAlignment="1" applyProtection="1">
      <alignment horizontal="right" vertical="distributed" textRotation="90"/>
      <protection locked="0"/>
    </xf>
    <xf numFmtId="0" fontId="27" fillId="0" borderId="1" xfId="2" applyFont="1" applyBorder="1" applyAlignment="1" applyProtection="1">
      <alignment horizontal="center"/>
    </xf>
  </cellXfs>
  <cellStyles count="14">
    <cellStyle name="_x000a_386grabber=M" xfId="3" xr:uid="{CF4413F3-6EBB-4E7E-9719-0286A2640584}"/>
    <cellStyle name="AFE" xfId="2" xr:uid="{15BFEF3D-9B29-4CF3-9169-C8CC6B8628CC}"/>
    <cellStyle name="Comma" xfId="13" builtinId="3"/>
    <cellStyle name="Normal" xfId="0" builtinId="0"/>
    <cellStyle name="Normal_Ch01 Pics v2.2" xfId="4" xr:uid="{03BDDD29-5DC1-4FD3-BAB7-3E6704A00208}"/>
    <cellStyle name="Normal_Ch02 Pics v1.0" xfId="12" xr:uid="{D5A85E71-4712-476E-A3EE-792ADA0822F4}"/>
    <cellStyle name="Normal_Ch03 Pics" xfId="8" xr:uid="{1866D082-74CA-461B-B92B-F0453818DF29}"/>
    <cellStyle name="Normal_Ch03 Pics v1.0" xfId="10" xr:uid="{44C6585B-282D-4549-AE33-B870460DEF61}"/>
    <cellStyle name="Normal_compSet(1)" xfId="6" xr:uid="{33AE085D-2D91-43F6-8EA2-34354BE01E54}"/>
    <cellStyle name="Normal_Implied Share Price v12-22-07" xfId="7" xr:uid="{5EA0CD09-E388-4971-BF3F-44129A49C941}"/>
    <cellStyle name="Normal_Input Page2" xfId="9" xr:uid="{88825156-F3F1-44D9-8499-4F321DF9984E}"/>
    <cellStyle name="Normal_PT" xfId="11" xr:uid="{E67D649D-A85D-4861-A53B-A53B79CB0AC2}"/>
    <cellStyle name="Pctg" xfId="5" xr:uid="{1DBBFC18-0E7A-4D59-9FDB-3AE419FF99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63228658631757E-2"/>
          <c:y val="3.5948330182734717E-2"/>
          <c:w val="0.88683547341893665"/>
          <c:h val="0.80139693077117724"/>
        </c:manualLayout>
      </c:layout>
      <c:stockChart>
        <c:ser>
          <c:idx val="0"/>
          <c:order val="0"/>
          <c:tx>
            <c:strRef>
              <c:f>'Valuation Summary'!$S$20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Summary'!$R$21:$R$26</c:f>
              <c:strCache>
                <c:ptCount val="6"/>
                <c:pt idx="0">
                  <c:v>52-Week Trading Range</c:v>
                </c:pt>
                <c:pt idx="1">
                  <c:v>Discounted Cash Flows</c:v>
                </c:pt>
                <c:pt idx="2">
                  <c:v>Comparable Companies (adj. mean)</c:v>
                </c:pt>
                <c:pt idx="3">
                  <c:v>Comparable Companies (median)</c:v>
                </c:pt>
                <c:pt idx="4">
                  <c:v>Precedent Transactions (adj. mean)</c:v>
                </c:pt>
                <c:pt idx="5">
                  <c:v>Precedent Transactions (median)</c:v>
                </c:pt>
              </c:strCache>
            </c:strRef>
          </c:cat>
          <c:val>
            <c:numRef>
              <c:f>'Valuation Summary'!$S$21:$S$26</c:f>
              <c:numCache>
                <c:formatCode>* _(##,##0.00_);[Red]* \(##,##0.00\);* _("-"?_);_(@_)</c:formatCode>
                <c:ptCount val="6"/>
                <c:pt idx="0">
                  <c:v>70</c:v>
                </c:pt>
                <c:pt idx="1">
                  <c:v>84.347935374652536</c:v>
                </c:pt>
                <c:pt idx="2">
                  <c:v>78.820010030210312</c:v>
                </c:pt>
                <c:pt idx="3">
                  <c:v>69.497991208457123</c:v>
                </c:pt>
                <c:pt idx="4">
                  <c:v>109.88336315789475</c:v>
                </c:pt>
                <c:pt idx="5">
                  <c:v>97.133008771929823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C-42D4-9249-939414AAA729}"/>
            </c:ext>
          </c:extLst>
        </c:ser>
        <c:ser>
          <c:idx val="1"/>
          <c:order val="1"/>
          <c:tx>
            <c:strRef>
              <c:f>'Valuation Summary'!$T$20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Summary'!$R$21:$R$26</c:f>
              <c:strCache>
                <c:ptCount val="6"/>
                <c:pt idx="0">
                  <c:v>52-Week Trading Range</c:v>
                </c:pt>
                <c:pt idx="1">
                  <c:v>Discounted Cash Flows</c:v>
                </c:pt>
                <c:pt idx="2">
                  <c:v>Comparable Companies (adj. mean)</c:v>
                </c:pt>
                <c:pt idx="3">
                  <c:v>Comparable Companies (median)</c:v>
                </c:pt>
                <c:pt idx="4">
                  <c:v>Precedent Transactions (adj. mean)</c:v>
                </c:pt>
                <c:pt idx="5">
                  <c:v>Precedent Transactions (median)</c:v>
                </c:pt>
              </c:strCache>
            </c:strRef>
          </c:cat>
          <c:val>
            <c:numRef>
              <c:f>'Valuation Summary'!$T$21:$T$26</c:f>
              <c:numCache>
                <c:formatCode>* _(##,##0.00_);[Red]* \(##,##0.00\);* _("-"?_);_(@_)</c:formatCode>
                <c:ptCount val="6"/>
                <c:pt idx="0">
                  <c:v>70</c:v>
                </c:pt>
                <c:pt idx="1">
                  <c:v>84.347935374652536</c:v>
                </c:pt>
                <c:pt idx="2">
                  <c:v>78.820010030210312</c:v>
                </c:pt>
                <c:pt idx="3">
                  <c:v>69.497991208457123</c:v>
                </c:pt>
                <c:pt idx="4">
                  <c:v>109.88336315789475</c:v>
                </c:pt>
                <c:pt idx="5">
                  <c:v>97.133008771929823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C-42D4-9249-939414AAA729}"/>
            </c:ext>
          </c:extLst>
        </c:ser>
        <c:ser>
          <c:idx val="2"/>
          <c:order val="2"/>
          <c:tx>
            <c:strRef>
              <c:f>'Valuation Summary'!$U$20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Summary'!$R$21:$R$26</c:f>
              <c:strCache>
                <c:ptCount val="6"/>
                <c:pt idx="0">
                  <c:v>52-Week Trading Range</c:v>
                </c:pt>
                <c:pt idx="1">
                  <c:v>Discounted Cash Flows</c:v>
                </c:pt>
                <c:pt idx="2">
                  <c:v>Comparable Companies (adj. mean)</c:v>
                </c:pt>
                <c:pt idx="3">
                  <c:v>Comparable Companies (median)</c:v>
                </c:pt>
                <c:pt idx="4">
                  <c:v>Precedent Transactions (adj. mean)</c:v>
                </c:pt>
                <c:pt idx="5">
                  <c:v>Precedent Transactions (median)</c:v>
                </c:pt>
              </c:strCache>
            </c:strRef>
          </c:cat>
          <c:val>
            <c:numRef>
              <c:f>'Valuation Summary'!$U$21:$U$26</c:f>
              <c:numCache>
                <c:formatCode>* _(##,##0.00_);[Red]* \(##,##0.00\);* _("-"?_);_(@_)</c:formatCode>
                <c:ptCount val="6"/>
                <c:pt idx="0">
                  <c:v>85</c:v>
                </c:pt>
                <c:pt idx="1">
                  <c:v>93.990738991716086</c:v>
                </c:pt>
                <c:pt idx="2">
                  <c:v>113.85106211981423</c:v>
                </c:pt>
                <c:pt idx="3">
                  <c:v>110.42385164265237</c:v>
                </c:pt>
                <c:pt idx="4">
                  <c:v>139.60788450292395</c:v>
                </c:pt>
                <c:pt idx="5">
                  <c:v>133.18813014984121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EC-42D4-9249-939414AAA729}"/>
            </c:ext>
          </c:extLst>
        </c:ser>
        <c:ser>
          <c:idx val="3"/>
          <c:order val="3"/>
          <c:tx>
            <c:strRef>
              <c:f>'Valuation Summary'!$V$20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Summary'!$R$21:$R$26</c:f>
              <c:strCache>
                <c:ptCount val="6"/>
                <c:pt idx="0">
                  <c:v>52-Week Trading Range</c:v>
                </c:pt>
                <c:pt idx="1">
                  <c:v>Discounted Cash Flows</c:v>
                </c:pt>
                <c:pt idx="2">
                  <c:v>Comparable Companies (adj. mean)</c:v>
                </c:pt>
                <c:pt idx="3">
                  <c:v>Comparable Companies (median)</c:v>
                </c:pt>
                <c:pt idx="4">
                  <c:v>Precedent Transactions (adj. mean)</c:v>
                </c:pt>
                <c:pt idx="5">
                  <c:v>Precedent Transactions (median)</c:v>
                </c:pt>
              </c:strCache>
            </c:strRef>
          </c:cat>
          <c:val>
            <c:numRef>
              <c:f>'Valuation Summary'!$V$21:$V$26</c:f>
              <c:numCache>
                <c:formatCode>* _(##,##0.00_);[Red]* \(##,##0.00\);* _("-"?_);_(@_)</c:formatCode>
                <c:ptCount val="6"/>
                <c:pt idx="0">
                  <c:v>85</c:v>
                </c:pt>
                <c:pt idx="1">
                  <c:v>93.990738991716086</c:v>
                </c:pt>
                <c:pt idx="2">
                  <c:v>113.85106211981423</c:v>
                </c:pt>
                <c:pt idx="3">
                  <c:v>110.42385164265237</c:v>
                </c:pt>
                <c:pt idx="4">
                  <c:v>139.60788450292395</c:v>
                </c:pt>
                <c:pt idx="5">
                  <c:v>133.18813014984121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EC-42D4-9249-939414AAA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711078304"/>
        <c:axId val="1709265840"/>
      </c:stockChart>
      <c:catAx>
        <c:axId val="171107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65840"/>
        <c:crosses val="autoZero"/>
        <c:auto val="1"/>
        <c:lblAlgn val="ctr"/>
        <c:lblOffset val="100"/>
        <c:noMultiLvlLbl val="0"/>
      </c:catAx>
      <c:valAx>
        <c:axId val="1709265840"/>
        <c:scaling>
          <c:orientation val="minMax"/>
          <c:max val="150"/>
          <c:min val="3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Equity Value per share ($)</a:t>
                </a:r>
              </a:p>
            </c:rich>
          </c:tx>
          <c:layout>
            <c:manualLayout>
              <c:xMode val="edge"/>
              <c:yMode val="edge"/>
              <c:x val="8.343763037129746E-3"/>
              <c:y val="0.22979788941671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* _(##,##0_);[Red]* \(##,##0\);* _(&quot;-&quot;?_);_(@_)" sourceLinked="0"/>
        <c:majorTickMark val="none"/>
        <c:minorTickMark val="none"/>
        <c:tickLblPos val="nextTo"/>
        <c:spPr>
          <a:noFill/>
          <a:ln>
            <a:solidFill>
              <a:schemeClr val="accent3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83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5</xdr:row>
      <xdr:rowOff>76200</xdr:rowOff>
    </xdr:from>
    <xdr:to>
      <xdr:col>13</xdr:col>
      <xdr:colOff>518160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0E246-6207-487F-B7A2-67AF7DF7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0.08921</cdr:x>
      <cdr:y>0.40944</cdr:y>
    </cdr:from>
    <cdr:to>
      <cdr:x>0.97462</cdr:x>
      <cdr:y>0.57276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7DE77749-3734-4601-81DC-C580D9C8EFBF}"/>
            </a:ext>
          </a:extLst>
        </cdr:cNvPr>
        <cdr:cNvSpPr/>
      </cdr:nvSpPr>
      <cdr:spPr>
        <a:xfrm xmlns:a="http://schemas.openxmlformats.org/drawingml/2006/main">
          <a:off x="750109" y="1618130"/>
          <a:ext cx="7444525" cy="64545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40000"/>
            <a:lumOff val="6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05B4-0F76-4E90-9230-79D878AACF1E}">
  <dimension ref="B1:H72"/>
  <sheetViews>
    <sheetView showGridLines="0" tabSelected="1" zoomScale="90" zoomScaleNormal="90" workbookViewId="0">
      <selection activeCell="C5" sqref="C5"/>
    </sheetView>
  </sheetViews>
  <sheetFormatPr baseColWidth="10" defaultColWidth="8.83203125" defaultRowHeight="15" outlineLevelRow="1"/>
  <cols>
    <col min="1" max="1" width="3.83203125" customWidth="1"/>
    <col min="2" max="2" width="38.1640625" customWidth="1"/>
    <col min="3" max="8" width="10.83203125" customWidth="1"/>
  </cols>
  <sheetData>
    <row r="1" spans="2:8" ht="21">
      <c r="B1" s="31" t="str">
        <f>""&amp;C3&amp;" - Summary Financials Tear Sheet"</f>
        <v>Serial Co. - Summary Financials Tear Sheet</v>
      </c>
      <c r="C1" s="6"/>
      <c r="D1" s="6"/>
      <c r="E1" s="6"/>
      <c r="F1" s="6"/>
      <c r="G1" s="6"/>
      <c r="H1" s="6"/>
    </row>
    <row r="2" spans="2:8" ht="14.5" customHeight="1">
      <c r="B2" s="30"/>
    </row>
    <row r="3" spans="2:8">
      <c r="B3" t="s">
        <v>52</v>
      </c>
      <c r="C3" s="293" t="s">
        <v>366</v>
      </c>
    </row>
    <row r="4" spans="2:8">
      <c r="B4" t="s">
        <v>45</v>
      </c>
      <c r="C4" s="294">
        <v>44926</v>
      </c>
    </row>
    <row r="5" spans="2:8">
      <c r="B5" s="282" t="s">
        <v>362</v>
      </c>
    </row>
    <row r="6" spans="2:8">
      <c r="B6" t="s">
        <v>315</v>
      </c>
      <c r="C6" s="291">
        <v>75</v>
      </c>
    </row>
    <row r="7" spans="2:8">
      <c r="B7" t="s">
        <v>316</v>
      </c>
      <c r="C7" s="292">
        <v>340</v>
      </c>
    </row>
    <row r="8" spans="2:8">
      <c r="B8" t="s">
        <v>317</v>
      </c>
      <c r="C8" s="292">
        <v>15</v>
      </c>
    </row>
    <row r="9" spans="2:8">
      <c r="B9" t="s">
        <v>318</v>
      </c>
      <c r="C9" s="291">
        <v>65</v>
      </c>
    </row>
    <row r="10" spans="2:8">
      <c r="B10" s="3"/>
    </row>
    <row r="11" spans="2:8">
      <c r="B11" s="282" t="s">
        <v>363</v>
      </c>
    </row>
    <row r="12" spans="2:8">
      <c r="B12" s="26" t="s">
        <v>300</v>
      </c>
      <c r="C12" s="284">
        <f t="shared" ref="C12:F12" si="0">DATE(YEAR(D12)-1,MONTH(D12),DAY(D12))</f>
        <v>43100</v>
      </c>
      <c r="D12" s="284">
        <f t="shared" si="0"/>
        <v>43465</v>
      </c>
      <c r="E12" s="284">
        <f t="shared" si="0"/>
        <v>43830</v>
      </c>
      <c r="F12" s="284">
        <f t="shared" si="0"/>
        <v>44196</v>
      </c>
      <c r="G12" s="284">
        <f>DATE(YEAR(H12)-1,MONTH(H12),DAY(H12))</f>
        <v>44561</v>
      </c>
      <c r="H12" s="284">
        <f>C4</f>
        <v>44926</v>
      </c>
    </row>
    <row r="13" spans="2:8">
      <c r="B13" t="s">
        <v>0</v>
      </c>
      <c r="C13" s="292">
        <v>12923</v>
      </c>
      <c r="D13" s="292">
        <v>13547</v>
      </c>
      <c r="E13" s="292">
        <v>14178</v>
      </c>
      <c r="F13" s="292">
        <v>14861</v>
      </c>
      <c r="G13" s="292">
        <v>15560</v>
      </c>
      <c r="H13" s="292">
        <v>16311</v>
      </c>
    </row>
    <row r="14" spans="2:8">
      <c r="B14" t="s">
        <v>1</v>
      </c>
      <c r="C14" s="295">
        <f>0-7901</f>
        <v>-7901</v>
      </c>
      <c r="D14" s="295">
        <f>0-8821</f>
        <v>-8821</v>
      </c>
      <c r="E14" s="295">
        <f>0-9197</f>
        <v>-9197</v>
      </c>
      <c r="F14" s="295">
        <f>0-9643</f>
        <v>-9643</v>
      </c>
      <c r="G14" s="295">
        <f>0-10121</f>
        <v>-10121</v>
      </c>
      <c r="H14" s="295">
        <f>0-10680</f>
        <v>-10680</v>
      </c>
    </row>
    <row r="15" spans="2:8">
      <c r="B15" t="s">
        <v>2</v>
      </c>
      <c r="C15" s="270">
        <f>SUM(C13:C14)</f>
        <v>5022</v>
      </c>
      <c r="D15" s="270">
        <f t="shared" ref="D15:H15" si="1">SUM(D13:D14)</f>
        <v>4726</v>
      </c>
      <c r="E15" s="270">
        <f t="shared" si="1"/>
        <v>4981</v>
      </c>
      <c r="F15" s="270">
        <f t="shared" si="1"/>
        <v>5218</v>
      </c>
      <c r="G15" s="270">
        <f t="shared" si="1"/>
        <v>5439</v>
      </c>
      <c r="H15" s="270">
        <f t="shared" si="1"/>
        <v>5631</v>
      </c>
    </row>
    <row r="16" spans="2:8">
      <c r="B16" t="s">
        <v>3</v>
      </c>
      <c r="C16" s="296">
        <f>0-2595</f>
        <v>-2595</v>
      </c>
      <c r="D16" s="296">
        <f>0-2604</f>
        <v>-2604</v>
      </c>
      <c r="E16" s="296">
        <f>0-2896</f>
        <v>-2896</v>
      </c>
      <c r="F16" s="296">
        <f>0-2987</f>
        <v>-2987</v>
      </c>
      <c r="G16" s="296">
        <f>0-3241</f>
        <v>-3241</v>
      </c>
      <c r="H16" s="296">
        <f>0-3502</f>
        <v>-3502</v>
      </c>
    </row>
    <row r="17" spans="2:8">
      <c r="B17" t="s">
        <v>5</v>
      </c>
      <c r="C17" s="290">
        <f>0-481</f>
        <v>-481</v>
      </c>
      <c r="D17" s="290">
        <f>0-516</f>
        <v>-516</v>
      </c>
      <c r="E17" s="290">
        <f>0-484</f>
        <v>-484</v>
      </c>
      <c r="F17" s="290">
        <f>0-479</f>
        <v>-479</v>
      </c>
      <c r="G17" s="290">
        <f>0-467</f>
        <v>-467</v>
      </c>
      <c r="H17" s="290">
        <f>0-478</f>
        <v>-478</v>
      </c>
    </row>
    <row r="18" spans="2:8">
      <c r="B18" t="s">
        <v>371</v>
      </c>
      <c r="C18" s="270">
        <f>SUM(C15:C17)</f>
        <v>1946</v>
      </c>
      <c r="D18" s="270">
        <f t="shared" ref="D18:H18" si="2">SUM(D15:D17)</f>
        <v>1606</v>
      </c>
      <c r="E18" s="270">
        <f t="shared" si="2"/>
        <v>1601</v>
      </c>
      <c r="F18" s="270">
        <f t="shared" si="2"/>
        <v>1752</v>
      </c>
      <c r="G18" s="270">
        <f t="shared" si="2"/>
        <v>1731</v>
      </c>
      <c r="H18" s="270">
        <f t="shared" si="2"/>
        <v>1651</v>
      </c>
    </row>
    <row r="19" spans="2:8">
      <c r="B19" t="s">
        <v>369</v>
      </c>
      <c r="C19" s="290">
        <f>0-((C41+C46)*4%)+(C32*1%)</f>
        <v>-105.28999999999999</v>
      </c>
      <c r="D19" s="290">
        <f t="shared" ref="D19:H19" si="3">0-((D41+D46)*4%)+(D32*1%)</f>
        <v>-110.22000000000001</v>
      </c>
      <c r="E19" s="290">
        <f t="shared" si="3"/>
        <v>-115.1</v>
      </c>
      <c r="F19" s="290">
        <f t="shared" si="3"/>
        <v>-120.09</v>
      </c>
      <c r="G19" s="290">
        <f t="shared" si="3"/>
        <v>-125.07000000000001</v>
      </c>
      <c r="H19" s="290">
        <f t="shared" si="3"/>
        <v>-126.53</v>
      </c>
    </row>
    <row r="20" spans="2:8">
      <c r="B20" t="s">
        <v>370</v>
      </c>
      <c r="C20" s="270">
        <f>SUM(C18:C19)</f>
        <v>1840.71</v>
      </c>
      <c r="D20" s="270">
        <f t="shared" ref="D20:H20" si="4">SUM(D18:D19)</f>
        <v>1495.78</v>
      </c>
      <c r="E20" s="270">
        <f t="shared" si="4"/>
        <v>1485.9</v>
      </c>
      <c r="F20" s="270">
        <f t="shared" si="4"/>
        <v>1631.91</v>
      </c>
      <c r="G20" s="270">
        <f t="shared" si="4"/>
        <v>1605.93</v>
      </c>
      <c r="H20" s="270">
        <f t="shared" si="4"/>
        <v>1524.47</v>
      </c>
    </row>
    <row r="21" spans="2:8">
      <c r="B21" t="s">
        <v>7</v>
      </c>
      <c r="C21" s="290">
        <f>0-(C20*35%)</f>
        <v>-644.24849999999992</v>
      </c>
      <c r="D21" s="290">
        <f>0-(D20*21%)</f>
        <v>-314.11379999999997</v>
      </c>
      <c r="E21" s="290">
        <f t="shared" ref="E21:H21" si="5">0-(E20*21%)</f>
        <v>-312.03899999999999</v>
      </c>
      <c r="F21" s="290">
        <f t="shared" si="5"/>
        <v>-342.7011</v>
      </c>
      <c r="G21" s="290">
        <f t="shared" si="5"/>
        <v>-337.24529999999999</v>
      </c>
      <c r="H21" s="290">
        <f t="shared" si="5"/>
        <v>-320.13869999999997</v>
      </c>
    </row>
    <row r="22" spans="2:8">
      <c r="B22" t="s">
        <v>372</v>
      </c>
      <c r="C22" s="270">
        <f>SUM(C20:C21)</f>
        <v>1196.4615000000001</v>
      </c>
      <c r="D22" s="270">
        <f t="shared" ref="D22:H22" si="6">SUM(D20:D21)</f>
        <v>1181.6662000000001</v>
      </c>
      <c r="E22" s="270">
        <f t="shared" si="6"/>
        <v>1173.8610000000001</v>
      </c>
      <c r="F22" s="270">
        <f t="shared" si="6"/>
        <v>1289.2089000000001</v>
      </c>
      <c r="G22" s="270">
        <f t="shared" si="6"/>
        <v>1268.6847</v>
      </c>
      <c r="H22" s="270">
        <f t="shared" si="6"/>
        <v>1204.3313000000001</v>
      </c>
    </row>
    <row r="23" spans="2:8">
      <c r="B23" t="s">
        <v>374</v>
      </c>
      <c r="C23" s="290">
        <f>0-(C22*1%)</f>
        <v>-11.964615000000002</v>
      </c>
      <c r="D23" s="290">
        <f t="shared" ref="D23:H23" si="7">0-(D22*1%)</f>
        <v>-11.816662000000001</v>
      </c>
      <c r="E23" s="290">
        <f t="shared" si="7"/>
        <v>-11.738610000000001</v>
      </c>
      <c r="F23" s="290">
        <f t="shared" si="7"/>
        <v>-12.892089</v>
      </c>
      <c r="G23" s="290">
        <f t="shared" si="7"/>
        <v>-12.686847</v>
      </c>
      <c r="H23" s="290">
        <f t="shared" si="7"/>
        <v>-12.043313000000001</v>
      </c>
    </row>
    <row r="24" spans="2:8">
      <c r="B24" t="s">
        <v>373</v>
      </c>
      <c r="C24" s="270">
        <f>SUM(C22:C23)</f>
        <v>1184.496885</v>
      </c>
      <c r="D24" s="270">
        <f t="shared" ref="D24:H24" si="8">SUM(D22:D23)</f>
        <v>1169.8495380000002</v>
      </c>
      <c r="E24" s="270">
        <f t="shared" si="8"/>
        <v>1162.12239</v>
      </c>
      <c r="F24" s="270">
        <f t="shared" si="8"/>
        <v>1276.3168110000001</v>
      </c>
      <c r="G24" s="270">
        <f t="shared" si="8"/>
        <v>1255.9978530000001</v>
      </c>
      <c r="H24" s="270">
        <f t="shared" si="8"/>
        <v>1192.2879870000002</v>
      </c>
    </row>
    <row r="25" spans="2:8">
      <c r="C25" s="270"/>
      <c r="D25" s="270"/>
      <c r="E25" s="270"/>
      <c r="F25" s="270"/>
      <c r="G25" s="270"/>
      <c r="H25" s="270"/>
    </row>
    <row r="26" spans="2:8">
      <c r="B26" t="s">
        <v>353</v>
      </c>
      <c r="C26" s="297">
        <f>C24/300</f>
        <v>3.9483229500000001</v>
      </c>
      <c r="D26" s="297">
        <f>D24/320</f>
        <v>3.6557798062500004</v>
      </c>
      <c r="E26" s="297">
        <f>E24/325</f>
        <v>3.5757612000000001</v>
      </c>
      <c r="F26" s="297">
        <f>F24/330</f>
        <v>3.8676267000000006</v>
      </c>
      <c r="G26" s="297">
        <f>G24/335</f>
        <v>3.7492473223880598</v>
      </c>
      <c r="H26" s="297">
        <f>H24/C7</f>
        <v>3.5067293735294123</v>
      </c>
    </row>
    <row r="27" spans="2:8">
      <c r="B27" s="6" t="s">
        <v>354</v>
      </c>
      <c r="C27" s="298">
        <f>C26-0.05</f>
        <v>3.8983229500000003</v>
      </c>
      <c r="D27" s="298">
        <f t="shared" ref="D27:G27" si="9">D26-0.05</f>
        <v>3.6057798062500006</v>
      </c>
      <c r="E27" s="298">
        <f t="shared" si="9"/>
        <v>3.5257612000000003</v>
      </c>
      <c r="F27" s="298">
        <f t="shared" si="9"/>
        <v>3.8176267000000008</v>
      </c>
      <c r="G27" s="298">
        <f t="shared" si="9"/>
        <v>3.69924732238806</v>
      </c>
      <c r="H27" s="298">
        <f>H24/(C7+(C8-(C8*C9/C6)))</f>
        <v>3.486222184210527</v>
      </c>
    </row>
    <row r="28" spans="2:8">
      <c r="C28" s="7"/>
      <c r="D28" s="7"/>
      <c r="E28" s="7"/>
      <c r="F28" s="7"/>
      <c r="G28" s="7"/>
      <c r="H28" s="7"/>
    </row>
    <row r="29" spans="2:8">
      <c r="B29" s="282" t="s">
        <v>364</v>
      </c>
    </row>
    <row r="30" spans="2:8">
      <c r="B30" s="26" t="s">
        <v>300</v>
      </c>
      <c r="C30" s="284">
        <f>C12</f>
        <v>43100</v>
      </c>
      <c r="D30" s="284">
        <f t="shared" ref="D30:H30" si="10">D12</f>
        <v>43465</v>
      </c>
      <c r="E30" s="284">
        <f t="shared" si="10"/>
        <v>43830</v>
      </c>
      <c r="F30" s="284">
        <f t="shared" si="10"/>
        <v>44196</v>
      </c>
      <c r="G30" s="284">
        <f t="shared" si="10"/>
        <v>44561</v>
      </c>
      <c r="H30" s="284">
        <f t="shared" si="10"/>
        <v>44926</v>
      </c>
    </row>
    <row r="31" spans="2:8">
      <c r="B31" s="3" t="s">
        <v>303</v>
      </c>
      <c r="C31" s="275"/>
      <c r="D31" s="275"/>
      <c r="E31" s="275"/>
      <c r="F31" s="275"/>
      <c r="G31" s="275"/>
      <c r="H31" s="275"/>
    </row>
    <row r="32" spans="2:8">
      <c r="B32" t="s">
        <v>143</v>
      </c>
      <c r="C32" s="299">
        <v>323</v>
      </c>
      <c r="D32" s="299">
        <v>338</v>
      </c>
      <c r="E32" s="299">
        <v>354</v>
      </c>
      <c r="F32" s="299">
        <v>371</v>
      </c>
      <c r="G32" s="299">
        <v>389</v>
      </c>
      <c r="H32" s="299">
        <v>375</v>
      </c>
    </row>
    <row r="33" spans="2:8">
      <c r="B33" t="s">
        <v>13</v>
      </c>
      <c r="C33" s="299">
        <v>1389</v>
      </c>
      <c r="D33" s="299">
        <v>1375</v>
      </c>
      <c r="E33" s="299">
        <v>1576</v>
      </c>
      <c r="F33" s="299">
        <v>1537</v>
      </c>
      <c r="G33" s="299">
        <v>1489</v>
      </c>
      <c r="H33" s="299">
        <v>1736</v>
      </c>
    </row>
    <row r="34" spans="2:8">
      <c r="B34" t="s">
        <v>14</v>
      </c>
      <c r="C34" s="299">
        <v>1217</v>
      </c>
      <c r="D34" s="299">
        <v>1330</v>
      </c>
      <c r="E34" s="299">
        <v>1226</v>
      </c>
      <c r="F34" s="299">
        <v>1287</v>
      </c>
      <c r="G34" s="299">
        <v>1398</v>
      </c>
      <c r="H34" s="299">
        <v>1768</v>
      </c>
    </row>
    <row r="35" spans="2:8">
      <c r="B35" t="s">
        <v>21</v>
      </c>
      <c r="C35" s="300">
        <v>149</v>
      </c>
      <c r="D35" s="300">
        <v>131</v>
      </c>
      <c r="E35" s="300">
        <v>232</v>
      </c>
      <c r="F35" s="300">
        <v>226</v>
      </c>
      <c r="G35" s="300">
        <v>221</v>
      </c>
      <c r="H35" s="300">
        <v>383</v>
      </c>
    </row>
    <row r="36" spans="2:8">
      <c r="B36" t="s">
        <v>19</v>
      </c>
      <c r="C36" s="273">
        <f>SUM(C32:C35)</f>
        <v>3078</v>
      </c>
      <c r="D36" s="273">
        <f t="shared" ref="D36:H36" si="11">SUM(D32:D35)</f>
        <v>3174</v>
      </c>
      <c r="E36" s="273">
        <f t="shared" si="11"/>
        <v>3388</v>
      </c>
      <c r="F36" s="273">
        <f t="shared" si="11"/>
        <v>3421</v>
      </c>
      <c r="G36" s="273">
        <f t="shared" si="11"/>
        <v>3497</v>
      </c>
      <c r="H36" s="273">
        <f t="shared" si="11"/>
        <v>4262</v>
      </c>
    </row>
    <row r="37" spans="2:8">
      <c r="B37" t="s">
        <v>305</v>
      </c>
      <c r="C37" s="300">
        <v>5408</v>
      </c>
      <c r="D37" s="300">
        <v>5700</v>
      </c>
      <c r="E37" s="300">
        <v>6533</v>
      </c>
      <c r="F37" s="300">
        <v>6191</v>
      </c>
      <c r="G37" s="300">
        <v>6891</v>
      </c>
      <c r="H37" s="300">
        <v>6982</v>
      </c>
    </row>
    <row r="38" spans="2:8">
      <c r="B38" t="s">
        <v>306</v>
      </c>
      <c r="C38" s="273">
        <f t="shared" ref="C38:H38" si="12">C36+C37</f>
        <v>8486</v>
      </c>
      <c r="D38" s="273">
        <f t="shared" si="12"/>
        <v>8874</v>
      </c>
      <c r="E38" s="273">
        <f t="shared" si="12"/>
        <v>9921</v>
      </c>
      <c r="F38" s="273">
        <f t="shared" si="12"/>
        <v>9612</v>
      </c>
      <c r="G38" s="273">
        <f t="shared" si="12"/>
        <v>10388</v>
      </c>
      <c r="H38" s="273">
        <f t="shared" si="12"/>
        <v>11244</v>
      </c>
    </row>
    <row r="39" spans="2:8">
      <c r="C39" s="273"/>
      <c r="D39" s="273"/>
      <c r="E39" s="273"/>
      <c r="F39" s="273"/>
      <c r="G39" s="273"/>
      <c r="H39" s="273"/>
    </row>
    <row r="40" spans="2:8">
      <c r="B40" s="3" t="s">
        <v>304</v>
      </c>
      <c r="C40" s="273"/>
      <c r="D40" s="273"/>
      <c r="E40" s="273"/>
      <c r="F40" s="273"/>
      <c r="G40" s="273"/>
      <c r="H40" s="273"/>
    </row>
    <row r="41" spans="2:8">
      <c r="B41" t="s">
        <v>307</v>
      </c>
      <c r="C41" s="299">
        <v>969</v>
      </c>
      <c r="D41" s="299">
        <v>1016</v>
      </c>
      <c r="E41" s="299">
        <v>1063</v>
      </c>
      <c r="F41" s="299">
        <v>1114</v>
      </c>
      <c r="G41" s="299">
        <v>1167</v>
      </c>
      <c r="H41" s="299">
        <v>1125</v>
      </c>
    </row>
    <row r="42" spans="2:8">
      <c r="B42" t="s">
        <v>16</v>
      </c>
      <c r="C42" s="299">
        <v>1269</v>
      </c>
      <c r="D42" s="299">
        <v>1427</v>
      </c>
      <c r="E42" s="299">
        <v>1587</v>
      </c>
      <c r="F42" s="299">
        <v>1571</v>
      </c>
      <c r="G42" s="299">
        <v>1573</v>
      </c>
      <c r="H42" s="299">
        <v>1973</v>
      </c>
    </row>
    <row r="43" spans="2:8">
      <c r="B43" t="s">
        <v>17</v>
      </c>
      <c r="C43" s="299">
        <v>200</v>
      </c>
      <c r="D43" s="299">
        <v>250</v>
      </c>
      <c r="E43" s="299">
        <v>250</v>
      </c>
      <c r="F43" s="299">
        <v>350</v>
      </c>
      <c r="G43" s="299">
        <v>400</v>
      </c>
      <c r="H43" s="299">
        <v>450</v>
      </c>
    </row>
    <row r="44" spans="2:8">
      <c r="B44" t="s">
        <v>18</v>
      </c>
      <c r="C44" s="300">
        <v>1031</v>
      </c>
      <c r="D44" s="300">
        <v>1016</v>
      </c>
      <c r="E44" s="300">
        <v>1250</v>
      </c>
      <c r="F44" s="300">
        <v>945</v>
      </c>
      <c r="G44" s="300">
        <v>763</v>
      </c>
      <c r="H44" s="300">
        <v>972</v>
      </c>
    </row>
    <row r="45" spans="2:8">
      <c r="B45" t="s">
        <v>20</v>
      </c>
      <c r="C45" s="273">
        <f>SUM(C41:C44)</f>
        <v>3469</v>
      </c>
      <c r="D45" s="273">
        <f t="shared" ref="D45:H45" si="13">SUM(D41:D44)</f>
        <v>3709</v>
      </c>
      <c r="E45" s="273">
        <f t="shared" si="13"/>
        <v>4150</v>
      </c>
      <c r="F45" s="273">
        <f t="shared" si="13"/>
        <v>3980</v>
      </c>
      <c r="G45" s="273">
        <f t="shared" si="13"/>
        <v>3903</v>
      </c>
      <c r="H45" s="273">
        <f t="shared" si="13"/>
        <v>4520</v>
      </c>
    </row>
    <row r="46" spans="2:8">
      <c r="B46" t="s">
        <v>308</v>
      </c>
      <c r="C46" s="300">
        <v>1744</v>
      </c>
      <c r="D46" s="300">
        <v>1824</v>
      </c>
      <c r="E46" s="300">
        <v>1903</v>
      </c>
      <c r="F46" s="300">
        <v>1981</v>
      </c>
      <c r="G46" s="300">
        <v>2057</v>
      </c>
      <c r="H46" s="300">
        <v>2132</v>
      </c>
    </row>
    <row r="47" spans="2:8">
      <c r="B47" t="s">
        <v>309</v>
      </c>
      <c r="C47" s="273">
        <f t="shared" ref="C47:H47" si="14">C45+C46</f>
        <v>5213</v>
      </c>
      <c r="D47" s="273">
        <f t="shared" si="14"/>
        <v>5533</v>
      </c>
      <c r="E47" s="273">
        <f t="shared" si="14"/>
        <v>6053</v>
      </c>
      <c r="F47" s="273">
        <f t="shared" si="14"/>
        <v>5961</v>
      </c>
      <c r="G47" s="273">
        <f t="shared" si="14"/>
        <v>5960</v>
      </c>
      <c r="H47" s="273">
        <f t="shared" si="14"/>
        <v>6652</v>
      </c>
    </row>
    <row r="48" spans="2:8">
      <c r="C48" s="273"/>
      <c r="D48" s="273"/>
      <c r="E48" s="273"/>
      <c r="F48" s="273"/>
      <c r="G48" s="273"/>
      <c r="H48" s="273"/>
    </row>
    <row r="49" spans="2:8">
      <c r="B49" s="3" t="s">
        <v>71</v>
      </c>
      <c r="C49" s="273"/>
      <c r="D49" s="273"/>
      <c r="E49" s="273"/>
      <c r="F49" s="273"/>
      <c r="G49" s="273"/>
      <c r="H49" s="273"/>
    </row>
    <row r="50" spans="2:8">
      <c r="B50" t="s">
        <v>310</v>
      </c>
      <c r="C50" s="299">
        <v>2953</v>
      </c>
      <c r="D50" s="299">
        <v>2976</v>
      </c>
      <c r="E50" s="299">
        <v>3493</v>
      </c>
      <c r="F50" s="299">
        <v>3251</v>
      </c>
      <c r="G50" s="299">
        <v>4003</v>
      </c>
      <c r="H50" s="299">
        <v>4142</v>
      </c>
    </row>
    <row r="51" spans="2:8">
      <c r="B51" t="s">
        <v>367</v>
      </c>
      <c r="C51" s="300">
        <v>320</v>
      </c>
      <c r="D51" s="300">
        <v>365</v>
      </c>
      <c r="E51" s="300">
        <v>375</v>
      </c>
      <c r="F51" s="300">
        <v>400</v>
      </c>
      <c r="G51" s="300">
        <v>425</v>
      </c>
      <c r="H51" s="300">
        <v>450</v>
      </c>
    </row>
    <row r="52" spans="2:8">
      <c r="B52" t="s">
        <v>311</v>
      </c>
      <c r="C52" s="277">
        <f t="shared" ref="C52:H52" si="15">SUM(C50:C51)</f>
        <v>3273</v>
      </c>
      <c r="D52" s="277">
        <f t="shared" si="15"/>
        <v>3341</v>
      </c>
      <c r="E52" s="277">
        <f t="shared" si="15"/>
        <v>3868</v>
      </c>
      <c r="F52" s="277">
        <f t="shared" si="15"/>
        <v>3651</v>
      </c>
      <c r="G52" s="277">
        <f t="shared" si="15"/>
        <v>4428</v>
      </c>
      <c r="H52" s="277">
        <f t="shared" si="15"/>
        <v>4592</v>
      </c>
    </row>
    <row r="53" spans="2:8">
      <c r="B53" s="6" t="s">
        <v>312</v>
      </c>
      <c r="C53" s="276">
        <f t="shared" ref="C53:H53" si="16">C47+C52</f>
        <v>8486</v>
      </c>
      <c r="D53" s="276">
        <f t="shared" si="16"/>
        <v>8874</v>
      </c>
      <c r="E53" s="276">
        <f t="shared" si="16"/>
        <v>9921</v>
      </c>
      <c r="F53" s="276">
        <f t="shared" si="16"/>
        <v>9612</v>
      </c>
      <c r="G53" s="276">
        <f t="shared" si="16"/>
        <v>10388</v>
      </c>
      <c r="H53" s="276">
        <f t="shared" si="16"/>
        <v>11244</v>
      </c>
    </row>
    <row r="54" spans="2:8">
      <c r="C54" s="7"/>
      <c r="D54" s="7"/>
      <c r="E54" s="7"/>
      <c r="F54" s="7"/>
      <c r="G54" s="7"/>
      <c r="H54" s="7"/>
    </row>
    <row r="55" spans="2:8">
      <c r="B55" s="282" t="s">
        <v>365</v>
      </c>
      <c r="C55" s="7"/>
      <c r="D55" s="7"/>
      <c r="E55" s="7"/>
      <c r="F55" s="7"/>
      <c r="G55" s="7"/>
      <c r="H55" s="7"/>
    </row>
    <row r="56" spans="2:8">
      <c r="B56" s="26" t="s">
        <v>300</v>
      </c>
      <c r="C56" s="284">
        <f>C12</f>
        <v>43100</v>
      </c>
      <c r="D56" s="284">
        <f t="shared" ref="D56:H56" si="17">D12</f>
        <v>43465</v>
      </c>
      <c r="E56" s="284">
        <f t="shared" si="17"/>
        <v>43830</v>
      </c>
      <c r="F56" s="284">
        <f t="shared" si="17"/>
        <v>44196</v>
      </c>
      <c r="G56" s="284">
        <f t="shared" si="17"/>
        <v>44561</v>
      </c>
      <c r="H56" s="284">
        <f t="shared" si="17"/>
        <v>44926</v>
      </c>
    </row>
    <row r="57" spans="2:8">
      <c r="B57" t="s">
        <v>212</v>
      </c>
      <c r="C57" s="253">
        <f t="shared" ref="C57:H57" si="18">C24</f>
        <v>1184.496885</v>
      </c>
      <c r="D57" s="253">
        <f t="shared" si="18"/>
        <v>1169.8495380000002</v>
      </c>
      <c r="E57" s="253">
        <f t="shared" si="18"/>
        <v>1162.12239</v>
      </c>
      <c r="F57" s="253">
        <f t="shared" si="18"/>
        <v>1276.3168110000001</v>
      </c>
      <c r="G57" s="253">
        <f t="shared" si="18"/>
        <v>1255.9978530000001</v>
      </c>
      <c r="H57" s="253">
        <f t="shared" si="18"/>
        <v>1192.2879870000002</v>
      </c>
    </row>
    <row r="58" spans="2:8">
      <c r="B58" t="s">
        <v>301</v>
      </c>
      <c r="C58" s="292">
        <f>C17</f>
        <v>-481</v>
      </c>
      <c r="D58" s="292">
        <f t="shared" ref="D58:H58" si="19">D17</f>
        <v>-516</v>
      </c>
      <c r="E58" s="292">
        <f t="shared" si="19"/>
        <v>-484</v>
      </c>
      <c r="F58" s="292">
        <f t="shared" si="19"/>
        <v>-479</v>
      </c>
      <c r="G58" s="292">
        <f t="shared" si="19"/>
        <v>-467</v>
      </c>
      <c r="H58" s="292">
        <f t="shared" si="19"/>
        <v>-478</v>
      </c>
    </row>
    <row r="59" spans="2:8">
      <c r="B59" s="6" t="s">
        <v>23</v>
      </c>
      <c r="C59" s="295">
        <f>0-(C69-0)</f>
        <v>-255</v>
      </c>
      <c r="D59" s="295">
        <f>0-(D69-C69)</f>
        <v>112</v>
      </c>
      <c r="E59" s="295">
        <f>0-(E69-D69)</f>
        <v>196</v>
      </c>
      <c r="F59" s="295">
        <f>0-(F69-E69)</f>
        <v>-237</v>
      </c>
      <c r="G59" s="295">
        <f>0-(G69-F69)</f>
        <v>-188</v>
      </c>
      <c r="H59" s="295">
        <f>0-(H69-G69)</f>
        <v>-120</v>
      </c>
    </row>
    <row r="60" spans="2:8">
      <c r="B60" t="s">
        <v>302</v>
      </c>
      <c r="C60" s="253">
        <f>SUM(C57:C59)</f>
        <v>448.49688500000002</v>
      </c>
      <c r="D60" s="253">
        <f t="shared" ref="D60:H60" si="20">SUM(D57:D59)</f>
        <v>765.84953800000017</v>
      </c>
      <c r="E60" s="253">
        <f t="shared" si="20"/>
        <v>874.12239</v>
      </c>
      <c r="F60" s="253">
        <f t="shared" si="20"/>
        <v>560.31681100000014</v>
      </c>
      <c r="G60" s="253">
        <f t="shared" si="20"/>
        <v>600.99785300000008</v>
      </c>
      <c r="H60" s="253">
        <f t="shared" si="20"/>
        <v>594.28798700000016</v>
      </c>
    </row>
    <row r="61" spans="2:8">
      <c r="B61" s="6" t="s">
        <v>314</v>
      </c>
      <c r="C61" s="301">
        <v>-501</v>
      </c>
      <c r="D61" s="301">
        <v>-578</v>
      </c>
      <c r="E61" s="301">
        <v>-586</v>
      </c>
      <c r="F61" s="301">
        <v>-505</v>
      </c>
      <c r="G61" s="301">
        <v>-553</v>
      </c>
      <c r="H61" s="301">
        <v>-488</v>
      </c>
    </row>
    <row r="63" spans="2:8" hidden="1" outlineLevel="1">
      <c r="B63" s="3" t="s">
        <v>361</v>
      </c>
    </row>
    <row r="64" spans="2:8" hidden="1" outlineLevel="1">
      <c r="B64" t="s">
        <v>313</v>
      </c>
      <c r="C64" s="52">
        <f t="shared" ref="C64:H64" si="21">C38-C53</f>
        <v>0</v>
      </c>
      <c r="D64" s="52">
        <f t="shared" si="21"/>
        <v>0</v>
      </c>
      <c r="E64" s="52">
        <f t="shared" si="21"/>
        <v>0</v>
      </c>
      <c r="F64" s="52">
        <f t="shared" si="21"/>
        <v>0</v>
      </c>
      <c r="G64" s="52">
        <f t="shared" si="21"/>
        <v>0</v>
      </c>
      <c r="H64" s="52">
        <f t="shared" si="21"/>
        <v>0</v>
      </c>
    </row>
    <row r="65" spans="2:8" hidden="1" outlineLevel="1">
      <c r="B65" t="s">
        <v>319</v>
      </c>
      <c r="C65" s="7"/>
      <c r="D65" s="272">
        <f>D13/C13-1</f>
        <v>4.8286001702391168E-2</v>
      </c>
      <c r="E65" s="272">
        <f>E13/D13-1</f>
        <v>4.6578578283014593E-2</v>
      </c>
      <c r="F65" s="272">
        <f>F13/E13-1</f>
        <v>4.8173226124982316E-2</v>
      </c>
      <c r="G65" s="272">
        <f>G13/F13-1</f>
        <v>4.7035865688715539E-2</v>
      </c>
      <c r="H65" s="272">
        <f>H13/G13-1</f>
        <v>4.8264781491002662E-2</v>
      </c>
    </row>
    <row r="66" spans="2:8" hidden="1" outlineLevel="1">
      <c r="B66" t="s">
        <v>320</v>
      </c>
      <c r="C66" s="272">
        <f t="shared" ref="C66:H66" si="22">C15/C13</f>
        <v>0.3886094560086667</v>
      </c>
      <c r="D66" s="272">
        <f t="shared" si="22"/>
        <v>0.34885952609433823</v>
      </c>
      <c r="E66" s="272">
        <f t="shared" si="22"/>
        <v>0.35131894484412468</v>
      </c>
      <c r="F66" s="272">
        <f t="shared" si="22"/>
        <v>0.35112038220846509</v>
      </c>
      <c r="G66" s="272">
        <f t="shared" si="22"/>
        <v>0.34955012853470435</v>
      </c>
      <c r="H66" s="272">
        <f t="shared" si="22"/>
        <v>0.34522714732389187</v>
      </c>
    </row>
    <row r="67" spans="2:8" hidden="1" outlineLevel="1">
      <c r="B67" t="s">
        <v>321</v>
      </c>
      <c r="C67" s="272">
        <f t="shared" ref="C67:H67" si="23">C16/C13</f>
        <v>-0.20080476669503985</v>
      </c>
      <c r="D67" s="272">
        <f t="shared" si="23"/>
        <v>-0.19221967963386727</v>
      </c>
      <c r="E67" s="272">
        <f t="shared" si="23"/>
        <v>-0.20426012131471294</v>
      </c>
      <c r="F67" s="272">
        <f t="shared" si="23"/>
        <v>-0.20099589529641343</v>
      </c>
      <c r="G67" s="272">
        <f t="shared" si="23"/>
        <v>-0.20829048843187661</v>
      </c>
      <c r="H67" s="272">
        <f t="shared" si="23"/>
        <v>-0.21470173502544296</v>
      </c>
    </row>
    <row r="68" spans="2:8" hidden="1" outlineLevel="1">
      <c r="B68" t="s">
        <v>322</v>
      </c>
      <c r="C68" s="272">
        <f t="shared" ref="C68:H68" si="24">C24/C13</f>
        <v>9.1658042637158557E-2</v>
      </c>
      <c r="D68" s="272">
        <f t="shared" si="24"/>
        <v>8.6354878423267153E-2</v>
      </c>
      <c r="E68" s="272">
        <f t="shared" si="24"/>
        <v>8.1966595429538727E-2</v>
      </c>
      <c r="F68" s="272">
        <f t="shared" si="24"/>
        <v>8.5883642487046635E-2</v>
      </c>
      <c r="G68" s="272">
        <f t="shared" si="24"/>
        <v>8.0719656362467876E-2</v>
      </c>
      <c r="H68" s="272">
        <f t="shared" si="24"/>
        <v>7.3097172889461104E-2</v>
      </c>
    </row>
    <row r="69" spans="2:8" hidden="1" outlineLevel="1">
      <c r="B69" t="s">
        <v>324</v>
      </c>
      <c r="C69" s="253">
        <f t="shared" ref="C69:H69" si="25">SUM(C33:C35)-SUM(C42:C44)</f>
        <v>255</v>
      </c>
      <c r="D69" s="253">
        <f t="shared" si="25"/>
        <v>143</v>
      </c>
      <c r="E69" s="253">
        <f t="shared" si="25"/>
        <v>-53</v>
      </c>
      <c r="F69" s="253">
        <f t="shared" si="25"/>
        <v>184</v>
      </c>
      <c r="G69" s="253">
        <f t="shared" si="25"/>
        <v>372</v>
      </c>
      <c r="H69" s="253">
        <f t="shared" si="25"/>
        <v>492</v>
      </c>
    </row>
    <row r="70" spans="2:8" hidden="1" outlineLevel="1">
      <c r="B70" t="s">
        <v>323</v>
      </c>
      <c r="C70" s="272">
        <f t="shared" ref="C70:H70" si="26">(SUM(C33:C35)-SUM(C42:C44))/C13</f>
        <v>1.973226031107328E-2</v>
      </c>
      <c r="D70" s="272">
        <f t="shared" si="26"/>
        <v>1.0555842621982727E-2</v>
      </c>
      <c r="E70" s="272">
        <f t="shared" si="26"/>
        <v>-3.7381859218507548E-3</v>
      </c>
      <c r="F70" s="272">
        <f t="shared" si="26"/>
        <v>1.2381400982437252E-2</v>
      </c>
      <c r="G70" s="272">
        <f t="shared" si="26"/>
        <v>2.3907455012853469E-2</v>
      </c>
      <c r="H70" s="272">
        <f t="shared" si="26"/>
        <v>3.0163693213169026E-2</v>
      </c>
    </row>
    <row r="71" spans="2:8" hidden="1" outlineLevel="1">
      <c r="B71" t="s">
        <v>327</v>
      </c>
      <c r="C71" s="274">
        <f>C24/C52</f>
        <v>0.36189944546287811</v>
      </c>
      <c r="D71" s="274">
        <f>D24/((D50+C50)/2)</f>
        <v>0.3946195102040817</v>
      </c>
      <c r="E71" s="274">
        <f>E24/((E50+D50)/2)</f>
        <v>0.35928965527902301</v>
      </c>
      <c r="F71" s="274">
        <f>F24/((F50+E50)/2)</f>
        <v>0.37850439234875449</v>
      </c>
      <c r="G71" s="274">
        <f>G24/((G50+F50)/2)</f>
        <v>0.34629110918114148</v>
      </c>
      <c r="H71" s="274">
        <f>H24/((H50+G50)/2)</f>
        <v>0.29276561988950278</v>
      </c>
    </row>
    <row r="72" spans="2:8" collapsed="1"/>
  </sheetData>
  <pageMargins left="0.7" right="0.7" top="0.75" bottom="0.75" header="0.3" footer="0.3"/>
  <pageSetup scale="80" orientation="portrait" verticalDpi="0" r:id="rId1"/>
  <headerFooter>
    <oddFooter>&amp;L© Atif Ellahie&amp;C&amp;P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EAEC-C2E2-48BA-B6ED-2B8CB1B91EF3}">
  <sheetPr>
    <pageSetUpPr fitToPage="1"/>
  </sheetPr>
  <dimension ref="A1:I75"/>
  <sheetViews>
    <sheetView showGridLines="0" topLeftCell="A56" zoomScale="90" zoomScaleNormal="90" workbookViewId="0"/>
  </sheetViews>
  <sheetFormatPr baseColWidth="10" defaultColWidth="8.83203125" defaultRowHeight="15"/>
  <cols>
    <col min="1" max="1" width="3.83203125" customWidth="1"/>
    <col min="2" max="2" width="30.33203125" customWidth="1"/>
    <col min="3" max="8" width="16.1640625" customWidth="1"/>
  </cols>
  <sheetData>
    <row r="1" spans="1:9" ht="21">
      <c r="B1" s="31" t="str">
        <f>""&amp;Data!C3&amp;" - Ratio Analysis"</f>
        <v>Serial Co. - Ratio Analysis</v>
      </c>
      <c r="C1" s="6"/>
      <c r="D1" s="6"/>
      <c r="E1" s="6"/>
      <c r="F1" s="6"/>
      <c r="G1" s="6"/>
      <c r="H1" s="6"/>
    </row>
    <row r="3" spans="1:9">
      <c r="A3" s="3">
        <v>1</v>
      </c>
      <c r="B3" s="3" t="s">
        <v>356</v>
      </c>
    </row>
    <row r="5" spans="1:9">
      <c r="B5" s="3" t="s">
        <v>329</v>
      </c>
      <c r="C5" s="285">
        <f>Data!C12</f>
        <v>43100</v>
      </c>
      <c r="D5" s="285">
        <f>Data!D12</f>
        <v>43465</v>
      </c>
      <c r="E5" s="285">
        <f>Data!E12</f>
        <v>43830</v>
      </c>
      <c r="F5" s="285">
        <f>Data!F12</f>
        <v>44196</v>
      </c>
      <c r="G5" s="285">
        <f>Data!G12</f>
        <v>44561</v>
      </c>
      <c r="H5" s="285">
        <f>Data!H12</f>
        <v>44926</v>
      </c>
    </row>
    <row r="6" spans="1:9">
      <c r="B6" t="s">
        <v>330</v>
      </c>
      <c r="C6" s="280">
        <f>Data!C13</f>
        <v>12923</v>
      </c>
      <c r="D6" s="280">
        <f>Data!D13</f>
        <v>13547</v>
      </c>
      <c r="E6" s="280">
        <f>Data!E13</f>
        <v>14178</v>
      </c>
      <c r="F6" s="280">
        <f>Data!F13</f>
        <v>14861</v>
      </c>
      <c r="G6" s="280">
        <f>Data!G13</f>
        <v>15560</v>
      </c>
      <c r="H6" s="280">
        <f>Data!H13</f>
        <v>16311</v>
      </c>
    </row>
    <row r="7" spans="1:9">
      <c r="B7" s="3" t="s">
        <v>331</v>
      </c>
      <c r="C7" s="279"/>
      <c r="D7" s="285">
        <f>Data!C12</f>
        <v>43100</v>
      </c>
      <c r="E7" s="285">
        <f>Data!D12</f>
        <v>43465</v>
      </c>
      <c r="F7" s="285">
        <f>Data!E12</f>
        <v>43830</v>
      </c>
      <c r="G7" s="285">
        <f>Data!F12</f>
        <v>44196</v>
      </c>
      <c r="H7" s="285">
        <f>Data!G12</f>
        <v>44561</v>
      </c>
      <c r="I7" s="279"/>
    </row>
    <row r="8" spans="1:9">
      <c r="B8" t="s">
        <v>330</v>
      </c>
      <c r="C8" s="280"/>
      <c r="D8" s="280">
        <f>Data!C13</f>
        <v>12923</v>
      </c>
      <c r="E8" s="280">
        <f>Data!D13</f>
        <v>13547</v>
      </c>
      <c r="F8" s="280">
        <f>Data!E13</f>
        <v>14178</v>
      </c>
      <c r="G8" s="280">
        <f>Data!F13</f>
        <v>14861</v>
      </c>
      <c r="H8" s="280">
        <f>Data!G13</f>
        <v>15560</v>
      </c>
      <c r="I8" s="279"/>
    </row>
    <row r="9" spans="1:9">
      <c r="C9" s="280"/>
      <c r="D9" s="280"/>
      <c r="E9" s="280"/>
      <c r="F9" s="280"/>
      <c r="G9" s="280"/>
      <c r="H9" s="280"/>
      <c r="I9" s="279"/>
    </row>
    <row r="10" spans="1:9">
      <c r="B10" s="307" t="s">
        <v>319</v>
      </c>
      <c r="C10" s="308"/>
      <c r="D10" s="308">
        <f t="shared" ref="D10:H10" si="0">D6/D8-1</f>
        <v>4.8286001702391168E-2</v>
      </c>
      <c r="E10" s="308">
        <f t="shared" si="0"/>
        <v>4.6578578283014593E-2</v>
      </c>
      <c r="F10" s="308">
        <f t="shared" si="0"/>
        <v>4.8173226124982316E-2</v>
      </c>
      <c r="G10" s="308">
        <f t="shared" si="0"/>
        <v>4.7035865688715539E-2</v>
      </c>
      <c r="H10" s="309">
        <f t="shared" si="0"/>
        <v>4.8264781491002662E-2</v>
      </c>
    </row>
    <row r="11" spans="1:9">
      <c r="C11" s="281"/>
      <c r="D11" s="281"/>
      <c r="E11" s="281"/>
      <c r="F11" s="281"/>
      <c r="G11" s="281"/>
      <c r="H11" s="281"/>
    </row>
    <row r="12" spans="1:9">
      <c r="A12" s="3">
        <v>2</v>
      </c>
      <c r="B12" s="3" t="s">
        <v>357</v>
      </c>
    </row>
    <row r="14" spans="1:9">
      <c r="B14" s="3" t="s">
        <v>329</v>
      </c>
      <c r="C14" s="285">
        <f>Data!H12</f>
        <v>44926</v>
      </c>
    </row>
    <row r="15" spans="1:9">
      <c r="B15" t="s">
        <v>330</v>
      </c>
      <c r="C15" s="280">
        <f>Data!H13</f>
        <v>16311</v>
      </c>
    </row>
    <row r="16" spans="1:9">
      <c r="B16" t="s">
        <v>331</v>
      </c>
      <c r="C16" s="285">
        <f>Data!C12</f>
        <v>43100</v>
      </c>
    </row>
    <row r="17" spans="1:8">
      <c r="B17" s="3" t="s">
        <v>330</v>
      </c>
      <c r="C17" s="280">
        <f>Data!C13</f>
        <v>12923</v>
      </c>
    </row>
    <row r="18" spans="1:8">
      <c r="B18" t="s">
        <v>332</v>
      </c>
      <c r="C18" s="280">
        <f>YEAR(C14)-YEAR(C16)</f>
        <v>5</v>
      </c>
    </row>
    <row r="19" spans="1:8">
      <c r="C19" s="280"/>
    </row>
    <row r="20" spans="1:8">
      <c r="B20" s="307" t="s">
        <v>333</v>
      </c>
      <c r="C20" s="309">
        <f>((C15/C17)^(1/C18))-1</f>
        <v>4.7667444360866895E-2</v>
      </c>
    </row>
    <row r="22" spans="1:8">
      <c r="A22" s="3">
        <v>3</v>
      </c>
      <c r="B22" s="3" t="s">
        <v>358</v>
      </c>
    </row>
    <row r="24" spans="1:8">
      <c r="B24" s="3" t="s">
        <v>329</v>
      </c>
      <c r="C24" s="275"/>
      <c r="D24" s="285">
        <f>Data!D12</f>
        <v>43465</v>
      </c>
      <c r="E24" s="285">
        <f>Data!E12</f>
        <v>43830</v>
      </c>
      <c r="F24" s="285">
        <f>Data!F12</f>
        <v>44196</v>
      </c>
      <c r="G24" s="285">
        <f>Data!G12</f>
        <v>44561</v>
      </c>
      <c r="H24" s="285">
        <f>Data!H12</f>
        <v>44926</v>
      </c>
    </row>
    <row r="25" spans="1:8">
      <c r="B25" t="s">
        <v>372</v>
      </c>
      <c r="C25" s="275"/>
      <c r="D25" s="280">
        <f>Data!D22</f>
        <v>1181.6662000000001</v>
      </c>
      <c r="E25" s="280">
        <f>Data!E22</f>
        <v>1173.8610000000001</v>
      </c>
      <c r="F25" s="280">
        <f>Data!F22</f>
        <v>1289.2089000000001</v>
      </c>
      <c r="G25" s="280">
        <f>Data!G22</f>
        <v>1268.6847</v>
      </c>
      <c r="H25" s="280">
        <f>Data!H22</f>
        <v>1204.3313000000001</v>
      </c>
    </row>
    <row r="26" spans="1:8">
      <c r="B26" t="s">
        <v>375</v>
      </c>
      <c r="C26" s="280"/>
      <c r="D26" s="280">
        <f>Data!D24</f>
        <v>1169.8495380000002</v>
      </c>
      <c r="E26" s="280">
        <f>Data!E24</f>
        <v>1162.12239</v>
      </c>
      <c r="F26" s="280">
        <f>Data!F24</f>
        <v>1276.3168110000001</v>
      </c>
      <c r="G26" s="280">
        <f>Data!G24</f>
        <v>1255.9978530000001</v>
      </c>
      <c r="H26" s="280">
        <f>Data!H24</f>
        <v>1192.2879870000002</v>
      </c>
    </row>
    <row r="27" spans="1:8">
      <c r="B27" t="s">
        <v>335</v>
      </c>
      <c r="C27" s="280"/>
      <c r="D27" s="280">
        <f>Data!D52</f>
        <v>3341</v>
      </c>
      <c r="E27" s="280">
        <f>Data!E52</f>
        <v>3868</v>
      </c>
      <c r="F27" s="280">
        <f>Data!F52</f>
        <v>3651</v>
      </c>
      <c r="G27" s="280">
        <f>Data!G52</f>
        <v>4428</v>
      </c>
      <c r="H27" s="280">
        <f>Data!H52</f>
        <v>4592</v>
      </c>
    </row>
    <row r="28" spans="1:8">
      <c r="B28" t="s">
        <v>334</v>
      </c>
      <c r="C28" s="280"/>
      <c r="D28" s="280">
        <f>Data!D50</f>
        <v>2976</v>
      </c>
      <c r="E28" s="280">
        <f>Data!E50</f>
        <v>3493</v>
      </c>
      <c r="F28" s="280">
        <f>Data!F50</f>
        <v>3251</v>
      </c>
      <c r="G28" s="280">
        <f>Data!G50</f>
        <v>4003</v>
      </c>
      <c r="H28" s="280">
        <f>Data!H50</f>
        <v>4142</v>
      </c>
    </row>
    <row r="29" spans="1:8">
      <c r="C29" s="280"/>
      <c r="D29" s="280"/>
      <c r="E29" s="280"/>
      <c r="F29" s="280"/>
      <c r="G29" s="280"/>
      <c r="H29" s="280"/>
    </row>
    <row r="30" spans="1:8">
      <c r="B30" s="3" t="s">
        <v>331</v>
      </c>
      <c r="C30" s="279"/>
      <c r="D30" s="285">
        <f>Data!C12</f>
        <v>43100</v>
      </c>
      <c r="E30" s="285">
        <f>Data!D12</f>
        <v>43465</v>
      </c>
      <c r="F30" s="285">
        <f>Data!E12</f>
        <v>43830</v>
      </c>
      <c r="G30" s="285">
        <f>Data!F12</f>
        <v>44196</v>
      </c>
      <c r="H30" s="285">
        <f>Data!G12</f>
        <v>44561</v>
      </c>
    </row>
    <row r="31" spans="1:8">
      <c r="B31" t="s">
        <v>335</v>
      </c>
      <c r="C31" s="280"/>
      <c r="D31" s="280">
        <f>Data!C52</f>
        <v>3273</v>
      </c>
      <c r="E31" s="280">
        <f>Data!D52</f>
        <v>3341</v>
      </c>
      <c r="F31" s="280">
        <f>Data!E52</f>
        <v>3868</v>
      </c>
      <c r="G31" s="280">
        <f>Data!F52</f>
        <v>3651</v>
      </c>
      <c r="H31" s="280">
        <f>Data!G52</f>
        <v>4428</v>
      </c>
    </row>
    <row r="32" spans="1:8">
      <c r="B32" t="s">
        <v>334</v>
      </c>
      <c r="C32" s="280"/>
      <c r="D32" s="280">
        <f>Data!C50</f>
        <v>2953</v>
      </c>
      <c r="E32" s="280">
        <f>Data!D50</f>
        <v>2976</v>
      </c>
      <c r="F32" s="280">
        <f>Data!E50</f>
        <v>3493</v>
      </c>
      <c r="G32" s="280">
        <f>Data!F50</f>
        <v>3251</v>
      </c>
      <c r="H32" s="280">
        <f>Data!G50</f>
        <v>4003</v>
      </c>
    </row>
    <row r="34" spans="1:8">
      <c r="B34" s="310" t="s">
        <v>337</v>
      </c>
      <c r="C34" s="311"/>
      <c r="D34" s="311">
        <f>D25/((D27+D31)/2)</f>
        <v>0.35732270940429395</v>
      </c>
      <c r="E34" s="311">
        <f t="shared" ref="E34:H34" si="1">E25/((E27+E31)/2)</f>
        <v>0.32566541822721601</v>
      </c>
      <c r="F34" s="311">
        <f t="shared" si="1"/>
        <v>0.34292030855166911</v>
      </c>
      <c r="G34" s="311">
        <f t="shared" si="1"/>
        <v>0.3140697363535091</v>
      </c>
      <c r="H34" s="312">
        <f t="shared" si="1"/>
        <v>0.26703576496674059</v>
      </c>
    </row>
    <row r="35" spans="1:8">
      <c r="B35" s="313" t="s">
        <v>336</v>
      </c>
      <c r="C35" s="314"/>
      <c r="D35" s="314">
        <f>D26/((D28+D32)/2)</f>
        <v>0.3946195102040817</v>
      </c>
      <c r="E35" s="314">
        <f t="shared" ref="E35:H35" si="2">E26/((E28+E32)/2)</f>
        <v>0.35928965527902301</v>
      </c>
      <c r="F35" s="314">
        <f t="shared" si="2"/>
        <v>0.37850439234875449</v>
      </c>
      <c r="G35" s="314">
        <f t="shared" si="2"/>
        <v>0.34629110918114148</v>
      </c>
      <c r="H35" s="315">
        <f t="shared" si="2"/>
        <v>0.29276561988950278</v>
      </c>
    </row>
    <row r="37" spans="1:8">
      <c r="A37" s="3">
        <v>4</v>
      </c>
      <c r="B37" s="3" t="s">
        <v>359</v>
      </c>
      <c r="C37" s="281"/>
      <c r="D37" s="281"/>
      <c r="E37" s="281"/>
      <c r="F37" s="281"/>
      <c r="G37" s="281"/>
      <c r="H37" s="281"/>
    </row>
    <row r="39" spans="1:8">
      <c r="B39" s="3" t="s">
        <v>329</v>
      </c>
      <c r="C39" s="275"/>
      <c r="D39" s="285">
        <f>Data!D12</f>
        <v>43465</v>
      </c>
      <c r="E39" s="285">
        <f>Data!E12</f>
        <v>43830</v>
      </c>
      <c r="F39" s="285">
        <f>Data!F12</f>
        <v>44196</v>
      </c>
      <c r="G39" s="285">
        <f>Data!G12</f>
        <v>44561</v>
      </c>
      <c r="H39" s="285">
        <f>Data!H12</f>
        <v>44926</v>
      </c>
    </row>
    <row r="40" spans="1:8">
      <c r="B40" t="s">
        <v>378</v>
      </c>
      <c r="C40" s="280"/>
      <c r="D40" s="280">
        <f>Data!D22</f>
        <v>1181.6662000000001</v>
      </c>
      <c r="E40" s="280">
        <f>Data!E22</f>
        <v>1173.8610000000001</v>
      </c>
      <c r="F40" s="280">
        <f>Data!F22</f>
        <v>1289.2089000000001</v>
      </c>
      <c r="G40" s="280">
        <f>Data!G22</f>
        <v>1268.6847</v>
      </c>
      <c r="H40" s="280">
        <f>Data!H22</f>
        <v>1204.3313000000001</v>
      </c>
    </row>
    <row r="41" spans="1:8">
      <c r="B41" t="s">
        <v>330</v>
      </c>
      <c r="C41" s="280"/>
      <c r="D41" s="280">
        <f>Data!D13</f>
        <v>13547</v>
      </c>
      <c r="E41" s="280">
        <f>Data!E13</f>
        <v>14178</v>
      </c>
      <c r="F41" s="280">
        <f>Data!F13</f>
        <v>14861</v>
      </c>
      <c r="G41" s="280">
        <f>Data!G13</f>
        <v>15560</v>
      </c>
      <c r="H41" s="280">
        <f>Data!H13</f>
        <v>16311</v>
      </c>
    </row>
    <row r="42" spans="1:8">
      <c r="B42" t="s">
        <v>335</v>
      </c>
      <c r="C42" s="280"/>
      <c r="D42" s="280">
        <f>Data!D52</f>
        <v>3341</v>
      </c>
      <c r="E42" s="280">
        <f>Data!E52</f>
        <v>3868</v>
      </c>
      <c r="F42" s="280">
        <f>Data!F52</f>
        <v>3651</v>
      </c>
      <c r="G42" s="280">
        <f>Data!G52</f>
        <v>4428</v>
      </c>
      <c r="H42" s="280">
        <f>Data!H52</f>
        <v>4592</v>
      </c>
    </row>
    <row r="43" spans="1:8">
      <c r="B43" t="s">
        <v>306</v>
      </c>
      <c r="C43" s="280"/>
      <c r="D43" s="280">
        <f>Data!D38</f>
        <v>8874</v>
      </c>
      <c r="E43" s="280">
        <f>Data!E38</f>
        <v>9921</v>
      </c>
      <c r="F43" s="280">
        <f>Data!F38</f>
        <v>9612</v>
      </c>
      <c r="G43" s="280">
        <f>Data!G38</f>
        <v>10388</v>
      </c>
      <c r="H43" s="280">
        <f>Data!H38</f>
        <v>11244</v>
      </c>
    </row>
    <row r="45" spans="1:8">
      <c r="B45" s="3" t="s">
        <v>331</v>
      </c>
      <c r="C45" s="279"/>
      <c r="D45" s="285">
        <f>Data!C30</f>
        <v>43100</v>
      </c>
      <c r="E45" s="285">
        <f>Data!D30</f>
        <v>43465</v>
      </c>
      <c r="F45" s="285">
        <f>Data!E30</f>
        <v>43830</v>
      </c>
      <c r="G45" s="285">
        <f>Data!F30</f>
        <v>44196</v>
      </c>
      <c r="H45" s="285">
        <f>Data!G30</f>
        <v>44561</v>
      </c>
    </row>
    <row r="46" spans="1:8">
      <c r="B46" t="s">
        <v>335</v>
      </c>
      <c r="C46" s="280"/>
      <c r="D46" s="280">
        <f>Data!C52</f>
        <v>3273</v>
      </c>
      <c r="E46" s="280">
        <f>Data!D52</f>
        <v>3341</v>
      </c>
      <c r="F46" s="280">
        <f>Data!E52</f>
        <v>3868</v>
      </c>
      <c r="G46" s="280">
        <f>Data!F52</f>
        <v>3651</v>
      </c>
      <c r="H46" s="280">
        <f>Data!G52</f>
        <v>4428</v>
      </c>
    </row>
    <row r="47" spans="1:8">
      <c r="B47" t="s">
        <v>306</v>
      </c>
      <c r="C47" s="280"/>
      <c r="D47" s="280">
        <f>Data!C38</f>
        <v>8486</v>
      </c>
      <c r="E47" s="280">
        <f>Data!D38</f>
        <v>8874</v>
      </c>
      <c r="F47" s="280">
        <f>Data!E38</f>
        <v>9921</v>
      </c>
      <c r="G47" s="280">
        <f>Data!F38</f>
        <v>9612</v>
      </c>
      <c r="H47" s="280">
        <f>Data!G38</f>
        <v>10388</v>
      </c>
    </row>
    <row r="49" spans="1:8">
      <c r="B49" s="310" t="s">
        <v>338</v>
      </c>
      <c r="C49" s="311"/>
      <c r="D49" s="311">
        <f t="shared" ref="D49:H49" si="3">D40/D41</f>
        <v>8.7227149922492073E-2</v>
      </c>
      <c r="E49" s="311">
        <f t="shared" si="3"/>
        <v>8.2794540837917902E-2</v>
      </c>
      <c r="F49" s="311">
        <f t="shared" si="3"/>
        <v>8.6751154027319838E-2</v>
      </c>
      <c r="G49" s="311">
        <f t="shared" si="3"/>
        <v>8.1535006426735224E-2</v>
      </c>
      <c r="H49" s="312">
        <f t="shared" si="3"/>
        <v>7.3835528171172837E-2</v>
      </c>
    </row>
    <row r="50" spans="1:8">
      <c r="B50" s="316" t="s">
        <v>339</v>
      </c>
      <c r="C50" s="317"/>
      <c r="D50" s="317">
        <f t="shared" ref="D50:H50" si="4">D41/((D43+D47)/2)</f>
        <v>1.5607142857142857</v>
      </c>
      <c r="E50" s="317">
        <f t="shared" si="4"/>
        <v>1.5086991221069432</v>
      </c>
      <c r="F50" s="317">
        <f t="shared" si="4"/>
        <v>1.5216300619464496</v>
      </c>
      <c r="G50" s="317">
        <f t="shared" si="4"/>
        <v>1.556</v>
      </c>
      <c r="H50" s="318">
        <f t="shared" si="4"/>
        <v>1.5080436390532543</v>
      </c>
    </row>
    <row r="51" spans="1:8">
      <c r="B51" s="316" t="s">
        <v>340</v>
      </c>
      <c r="C51" s="317"/>
      <c r="D51" s="317">
        <f t="shared" ref="D51:H51" si="5">((D43+D47)/2)/((D42+D46)/2)</f>
        <v>2.6247354097369215</v>
      </c>
      <c r="E51" s="317">
        <f t="shared" si="5"/>
        <v>2.6071577195172702</v>
      </c>
      <c r="F51" s="317">
        <f t="shared" si="5"/>
        <v>2.5978188588908098</v>
      </c>
      <c r="G51" s="317">
        <f t="shared" si="5"/>
        <v>2.4755539051862856</v>
      </c>
      <c r="H51" s="318">
        <f t="shared" si="5"/>
        <v>2.3982261640798228</v>
      </c>
    </row>
    <row r="52" spans="1:8">
      <c r="B52" s="316" t="s">
        <v>341</v>
      </c>
      <c r="C52" s="317"/>
      <c r="D52" s="317">
        <f t="shared" ref="D52:H52" si="6">D49*D50</f>
        <v>0.13613665898617514</v>
      </c>
      <c r="E52" s="317">
        <f t="shared" si="6"/>
        <v>0.1249120510774142</v>
      </c>
      <c r="F52" s="317">
        <f t="shared" si="6"/>
        <v>0.13200316387651667</v>
      </c>
      <c r="G52" s="317">
        <f t="shared" si="6"/>
        <v>0.12686847000000001</v>
      </c>
      <c r="H52" s="318">
        <f t="shared" si="6"/>
        <v>0.11134719859467457</v>
      </c>
    </row>
    <row r="53" spans="1:8">
      <c r="B53" s="313" t="s">
        <v>337</v>
      </c>
      <c r="C53" s="314"/>
      <c r="D53" s="314">
        <f t="shared" ref="D53:H53" si="7">D52*D51</f>
        <v>0.35732270940429395</v>
      </c>
      <c r="E53" s="314">
        <f t="shared" si="7"/>
        <v>0.32566541822721595</v>
      </c>
      <c r="F53" s="314">
        <f t="shared" si="7"/>
        <v>0.34292030855166911</v>
      </c>
      <c r="G53" s="314">
        <f t="shared" si="7"/>
        <v>0.31406973635350915</v>
      </c>
      <c r="H53" s="315">
        <f t="shared" si="7"/>
        <v>0.26703576496674064</v>
      </c>
    </row>
    <row r="55" spans="1:8">
      <c r="A55" s="3">
        <v>5</v>
      </c>
      <c r="B55" s="3" t="s">
        <v>360</v>
      </c>
    </row>
    <row r="57" spans="1:8">
      <c r="B57" s="3" t="s">
        <v>329</v>
      </c>
      <c r="C57" s="275"/>
      <c r="D57" s="285">
        <f>Data!D12</f>
        <v>43465</v>
      </c>
      <c r="E57" s="285">
        <f>Data!E12</f>
        <v>43830</v>
      </c>
      <c r="F57" s="285">
        <f>Data!F12</f>
        <v>44196</v>
      </c>
      <c r="G57" s="285">
        <f>Data!G12</f>
        <v>44561</v>
      </c>
      <c r="H57" s="285">
        <f>Data!H12</f>
        <v>44926</v>
      </c>
    </row>
    <row r="58" spans="1:8">
      <c r="B58" t="s">
        <v>330</v>
      </c>
      <c r="C58" s="280"/>
      <c r="D58" s="280">
        <f>Data!D13</f>
        <v>13547</v>
      </c>
      <c r="E58" s="280">
        <f>Data!E13</f>
        <v>14178</v>
      </c>
      <c r="F58" s="280">
        <f>Data!F13</f>
        <v>14861</v>
      </c>
      <c r="G58" s="280">
        <f>Data!G13</f>
        <v>15560</v>
      </c>
      <c r="H58" s="280">
        <f>Data!H13</f>
        <v>16311</v>
      </c>
    </row>
    <row r="59" spans="1:8">
      <c r="B59" t="s">
        <v>342</v>
      </c>
      <c r="C59" s="280"/>
      <c r="D59" s="280">
        <f>0-Data!D14</f>
        <v>8821</v>
      </c>
      <c r="E59" s="280">
        <f>0-Data!E14</f>
        <v>9197</v>
      </c>
      <c r="F59" s="280">
        <f>0-Data!F14</f>
        <v>9643</v>
      </c>
      <c r="G59" s="280">
        <f>0-Data!G14</f>
        <v>10121</v>
      </c>
      <c r="H59" s="280">
        <f>0-Data!H14</f>
        <v>10680</v>
      </c>
    </row>
    <row r="60" spans="1:8">
      <c r="B60" t="s">
        <v>344</v>
      </c>
      <c r="C60" s="280"/>
      <c r="D60" s="280">
        <f>Data!D33</f>
        <v>1375</v>
      </c>
      <c r="E60" s="280">
        <f>Data!E33</f>
        <v>1576</v>
      </c>
      <c r="F60" s="280">
        <f>Data!F33</f>
        <v>1537</v>
      </c>
      <c r="G60" s="280">
        <f>Data!G33</f>
        <v>1489</v>
      </c>
      <c r="H60" s="280">
        <f>Data!H33</f>
        <v>1736</v>
      </c>
    </row>
    <row r="61" spans="1:8">
      <c r="B61" t="s">
        <v>343</v>
      </c>
      <c r="C61" s="280"/>
      <c r="D61" s="280">
        <f>Data!D34</f>
        <v>1330</v>
      </c>
      <c r="E61" s="280">
        <f>Data!E34</f>
        <v>1226</v>
      </c>
      <c r="F61" s="280">
        <f>Data!F34</f>
        <v>1287</v>
      </c>
      <c r="G61" s="280">
        <f>Data!G34</f>
        <v>1398</v>
      </c>
      <c r="H61" s="280">
        <f>Data!H34</f>
        <v>1768</v>
      </c>
    </row>
    <row r="62" spans="1:8">
      <c r="B62" t="s">
        <v>345</v>
      </c>
      <c r="C62" s="280"/>
      <c r="D62" s="280">
        <f>Data!D42</f>
        <v>1427</v>
      </c>
      <c r="E62" s="280">
        <f>Data!E42</f>
        <v>1587</v>
      </c>
      <c r="F62" s="280">
        <f>Data!F42</f>
        <v>1571</v>
      </c>
      <c r="G62" s="280">
        <f>Data!G42</f>
        <v>1573</v>
      </c>
      <c r="H62" s="280">
        <f>Data!H42</f>
        <v>1973</v>
      </c>
    </row>
    <row r="63" spans="1:8">
      <c r="C63" s="280"/>
      <c r="D63" s="280"/>
      <c r="E63" s="280"/>
      <c r="F63" s="280"/>
      <c r="G63" s="280"/>
      <c r="H63" s="280"/>
    </row>
    <row r="64" spans="1:8">
      <c r="B64" s="3" t="s">
        <v>331</v>
      </c>
      <c r="C64" s="279"/>
      <c r="D64" s="285">
        <f>Data!C12</f>
        <v>43100</v>
      </c>
      <c r="E64" s="285">
        <f>Data!D12</f>
        <v>43465</v>
      </c>
      <c r="F64" s="285">
        <f>Data!E12</f>
        <v>43830</v>
      </c>
      <c r="G64" s="285">
        <f>Data!F12</f>
        <v>44196</v>
      </c>
      <c r="H64" s="285">
        <f>Data!G12</f>
        <v>44561</v>
      </c>
    </row>
    <row r="65" spans="2:8">
      <c r="B65" t="s">
        <v>344</v>
      </c>
      <c r="C65" s="280"/>
      <c r="D65" s="280">
        <f>Data!C33</f>
        <v>1389</v>
      </c>
      <c r="E65" s="280">
        <f>Data!D33</f>
        <v>1375</v>
      </c>
      <c r="F65" s="280">
        <f>Data!E33</f>
        <v>1576</v>
      </c>
      <c r="G65" s="280">
        <f>Data!F33</f>
        <v>1537</v>
      </c>
      <c r="H65" s="280">
        <f>Data!G33</f>
        <v>1489</v>
      </c>
    </row>
    <row r="66" spans="2:8">
      <c r="B66" t="s">
        <v>343</v>
      </c>
      <c r="C66" s="280"/>
      <c r="D66" s="280">
        <f>Data!C34</f>
        <v>1217</v>
      </c>
      <c r="E66" s="280">
        <f>Data!D34</f>
        <v>1330</v>
      </c>
      <c r="F66" s="280">
        <f>Data!E34</f>
        <v>1226</v>
      </c>
      <c r="G66" s="280">
        <f>Data!F34</f>
        <v>1287</v>
      </c>
      <c r="H66" s="280">
        <f>Data!G34</f>
        <v>1398</v>
      </c>
    </row>
    <row r="67" spans="2:8">
      <c r="B67" t="s">
        <v>345</v>
      </c>
      <c r="C67" s="280"/>
      <c r="D67" s="280">
        <f>Data!C42</f>
        <v>1269</v>
      </c>
      <c r="E67" s="280">
        <f>Data!D42</f>
        <v>1427</v>
      </c>
      <c r="F67" s="280">
        <f>Data!E42</f>
        <v>1587</v>
      </c>
      <c r="G67" s="280">
        <f>Data!F42</f>
        <v>1571</v>
      </c>
      <c r="H67" s="280">
        <f>Data!G42</f>
        <v>1573</v>
      </c>
    </row>
    <row r="69" spans="2:8">
      <c r="B69" s="310" t="s">
        <v>347</v>
      </c>
      <c r="C69" s="319"/>
      <c r="D69" s="319">
        <f t="shared" ref="D69:H70" si="8">D58/((D60+D65)/2)</f>
        <v>9.8024602026049212</v>
      </c>
      <c r="E69" s="319">
        <f t="shared" si="8"/>
        <v>9.6089461199593362</v>
      </c>
      <c r="F69" s="319">
        <f t="shared" si="8"/>
        <v>9.5477031802120145</v>
      </c>
      <c r="G69" s="319">
        <f t="shared" si="8"/>
        <v>10.284203569068076</v>
      </c>
      <c r="H69" s="320">
        <f t="shared" si="8"/>
        <v>10.115348837209302</v>
      </c>
    </row>
    <row r="70" spans="2:8">
      <c r="B70" s="316" t="s">
        <v>346</v>
      </c>
      <c r="C70" s="321"/>
      <c r="D70" s="321">
        <f t="shared" si="8"/>
        <v>6.9265802905378875</v>
      </c>
      <c r="E70" s="321">
        <f t="shared" si="8"/>
        <v>7.1964006259780904</v>
      </c>
      <c r="F70" s="321">
        <f t="shared" si="8"/>
        <v>7.6744926382809391</v>
      </c>
      <c r="G70" s="321">
        <f t="shared" si="8"/>
        <v>7.5389199255121042</v>
      </c>
      <c r="H70" s="322">
        <f t="shared" si="8"/>
        <v>6.7466835123183833</v>
      </c>
    </row>
    <row r="71" spans="2:8">
      <c r="B71" s="316" t="s">
        <v>348</v>
      </c>
      <c r="C71" s="321"/>
      <c r="D71" s="321">
        <f>(D59+D61-D66)/((D62+D67)/2)</f>
        <v>6.6275964391691398</v>
      </c>
      <c r="E71" s="321">
        <f>(E59+E61-E66)/((E62+E67)/2)</f>
        <v>6.0338420703384203</v>
      </c>
      <c r="F71" s="321">
        <f>(F59+F61-F66)/((F62+F67)/2)</f>
        <v>6.1456618112729577</v>
      </c>
      <c r="G71" s="321">
        <f>(G59+G61-G66)/((G62+G67)/2)</f>
        <v>6.5089058524173025</v>
      </c>
      <c r="H71" s="322">
        <f>(H59+H61-H66)/((H62+H67)/2)</f>
        <v>6.232374506486182</v>
      </c>
    </row>
    <row r="72" spans="2:8">
      <c r="B72" s="316" t="s">
        <v>349</v>
      </c>
      <c r="C72" s="321"/>
      <c r="D72" s="321">
        <f>365/D70</f>
        <v>52.6955560594037</v>
      </c>
      <c r="E72" s="321">
        <f>365/E70</f>
        <v>50.71979993476134</v>
      </c>
      <c r="F72" s="321">
        <f>365/F70</f>
        <v>47.560147257077674</v>
      </c>
      <c r="G72" s="321">
        <f>365/G70</f>
        <v>48.415423377136648</v>
      </c>
      <c r="H72" s="322">
        <f>365/H70</f>
        <v>54.100655430711605</v>
      </c>
    </row>
    <row r="73" spans="2:8">
      <c r="B73" s="316" t="s">
        <v>350</v>
      </c>
      <c r="C73" s="321"/>
      <c r="D73" s="321">
        <f>365/D69</f>
        <v>37.235550306340883</v>
      </c>
      <c r="E73" s="321">
        <f>365/E69</f>
        <v>37.985435181266752</v>
      </c>
      <c r="F73" s="321">
        <f>365/F69</f>
        <v>38.22908956328645</v>
      </c>
      <c r="G73" s="321">
        <f>365/G69</f>
        <v>35.491323907455012</v>
      </c>
      <c r="H73" s="322">
        <f>365/H69</f>
        <v>36.083777818649992</v>
      </c>
    </row>
    <row r="74" spans="2:8">
      <c r="B74" s="316" t="s">
        <v>351</v>
      </c>
      <c r="C74" s="321"/>
      <c r="D74" s="321">
        <f t="shared" ref="D74:H74" si="9">365/D71</f>
        <v>55.072755764495184</v>
      </c>
      <c r="E74" s="321">
        <f t="shared" si="9"/>
        <v>60.492136808534042</v>
      </c>
      <c r="F74" s="321">
        <f t="shared" si="9"/>
        <v>59.391488046166529</v>
      </c>
      <c r="G74" s="321">
        <f t="shared" si="9"/>
        <v>56.077013291634096</v>
      </c>
      <c r="H74" s="322">
        <f t="shared" si="9"/>
        <v>58.565158371040724</v>
      </c>
    </row>
    <row r="75" spans="2:8">
      <c r="B75" s="313" t="s">
        <v>352</v>
      </c>
      <c r="C75" s="323"/>
      <c r="D75" s="323">
        <f t="shared" ref="D75:H75" si="10">D72+D73-D74</f>
        <v>34.858350601249398</v>
      </c>
      <c r="E75" s="323">
        <f t="shared" si="10"/>
        <v>28.21309830749405</v>
      </c>
      <c r="F75" s="323">
        <f t="shared" si="10"/>
        <v>26.397748774197595</v>
      </c>
      <c r="G75" s="323">
        <f t="shared" si="10"/>
        <v>27.829733992957564</v>
      </c>
      <c r="H75" s="324">
        <f t="shared" si="10"/>
        <v>31.61927487832088</v>
      </c>
    </row>
  </sheetData>
  <pageMargins left="0.7" right="0.7" top="0.75" bottom="0.75" header="0.3" footer="0.3"/>
  <pageSetup scale="61" orientation="portrait" verticalDpi="0" r:id="rId1"/>
  <headerFooter>
    <oddFooter>&amp;L© Atif Ellahie&amp;C&amp;P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3FB4-AF7A-41E6-9CFB-163EAC8BA1DE}">
  <dimension ref="B1:P177"/>
  <sheetViews>
    <sheetView showGridLines="0" topLeftCell="A18" zoomScale="85" zoomScaleNormal="85" workbookViewId="0"/>
  </sheetViews>
  <sheetFormatPr baseColWidth="10" defaultColWidth="8.83203125" defaultRowHeight="15"/>
  <cols>
    <col min="1" max="1" width="3.83203125" customWidth="1"/>
    <col min="2" max="2" width="38.1640625" customWidth="1"/>
    <col min="3" max="15" width="11.1640625" customWidth="1"/>
    <col min="16" max="16" width="10.1640625" bestFit="1" customWidth="1"/>
  </cols>
  <sheetData>
    <row r="1" spans="2:15" ht="21">
      <c r="B1" s="31" t="str">
        <f>""&amp;Data!C3&amp;" - Discounted Cash Flow Valuation"</f>
        <v>Serial Co. - Discounted Cash Flow Valuation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14.5" customHeight="1">
      <c r="B2" s="30"/>
    </row>
    <row r="3" spans="2:15">
      <c r="B3" t="s">
        <v>44</v>
      </c>
      <c r="C3" s="19">
        <v>45016</v>
      </c>
    </row>
    <row r="4" spans="2:15">
      <c r="B4" t="s">
        <v>45</v>
      </c>
      <c r="C4" s="19">
        <v>44926</v>
      </c>
      <c r="K4" s="278"/>
    </row>
    <row r="5" spans="2:15">
      <c r="B5" t="s">
        <v>325</v>
      </c>
      <c r="C5" s="33" t="s">
        <v>150</v>
      </c>
    </row>
    <row r="6" spans="2:15">
      <c r="B6" t="s">
        <v>398</v>
      </c>
      <c r="C6" s="33" t="s">
        <v>150</v>
      </c>
    </row>
    <row r="8" spans="2:15" ht="19">
      <c r="B8" s="23" t="s">
        <v>111</v>
      </c>
      <c r="C8" s="14"/>
      <c r="I8" s="116" t="s">
        <v>394</v>
      </c>
      <c r="J8" s="116"/>
      <c r="K8" s="116"/>
      <c r="L8" s="116"/>
      <c r="M8" s="116"/>
      <c r="N8" s="116"/>
      <c r="O8" s="334" t="s">
        <v>395</v>
      </c>
    </row>
    <row r="9" spans="2:15">
      <c r="C9" s="29" t="s">
        <v>10</v>
      </c>
      <c r="D9" s="29" t="s">
        <v>10</v>
      </c>
      <c r="E9" s="29" t="s">
        <v>10</v>
      </c>
      <c r="F9" s="29" t="s">
        <v>10</v>
      </c>
      <c r="G9" s="29" t="s">
        <v>10</v>
      </c>
      <c r="H9" s="29" t="s">
        <v>45</v>
      </c>
      <c r="I9" s="27" t="s">
        <v>11</v>
      </c>
      <c r="J9" s="28" t="s">
        <v>11</v>
      </c>
      <c r="K9" s="28" t="s">
        <v>11</v>
      </c>
      <c r="L9" s="28" t="s">
        <v>11</v>
      </c>
      <c r="M9" s="28" t="s">
        <v>11</v>
      </c>
      <c r="N9" s="28" t="s">
        <v>11</v>
      </c>
      <c r="O9" s="28" t="s">
        <v>11</v>
      </c>
    </row>
    <row r="10" spans="2:15">
      <c r="B10" s="26" t="s">
        <v>108</v>
      </c>
      <c r="C10" s="284">
        <f>DATE(YEAR(D10)-1,MONTH(D10),DAY(D10))</f>
        <v>43100</v>
      </c>
      <c r="D10" s="284">
        <f>DATE(YEAR(E10)-1,MONTH(E10),DAY(E10))</f>
        <v>43465</v>
      </c>
      <c r="E10" s="284">
        <f>DATE(YEAR(F10)-1,MONTH(F10),DAY(F10))</f>
        <v>43830</v>
      </c>
      <c r="F10" s="284">
        <f>DATE(YEAR(G10)-1,MONTH(G10),DAY(G10))</f>
        <v>44196</v>
      </c>
      <c r="G10" s="284">
        <f>DATE(YEAR(H10)-1,MONTH(H10),DAY(H10))</f>
        <v>44561</v>
      </c>
      <c r="H10" s="284">
        <f>C4</f>
        <v>44926</v>
      </c>
      <c r="I10" s="286">
        <f>DATE(YEAR(H10)+1,MONTH(H10),DAY(H10))</f>
        <v>45291</v>
      </c>
      <c r="J10" s="284">
        <f t="shared" ref="J10:O10" si="0">DATE(YEAR(I10)+1,MONTH(I10),DAY(I10))</f>
        <v>45657</v>
      </c>
      <c r="K10" s="284">
        <f t="shared" si="0"/>
        <v>46022</v>
      </c>
      <c r="L10" s="284">
        <f t="shared" si="0"/>
        <v>46387</v>
      </c>
      <c r="M10" s="284">
        <f t="shared" si="0"/>
        <v>46752</v>
      </c>
      <c r="N10" s="284">
        <f t="shared" si="0"/>
        <v>47118</v>
      </c>
      <c r="O10" s="284">
        <f t="shared" si="0"/>
        <v>47483</v>
      </c>
    </row>
    <row r="11" spans="2:15">
      <c r="B11" t="s">
        <v>0</v>
      </c>
      <c r="C11" s="270">
        <f>Data!C13</f>
        <v>12923</v>
      </c>
      <c r="D11" s="270">
        <f>Data!D13</f>
        <v>13547</v>
      </c>
      <c r="E11" s="270">
        <f>Data!E13</f>
        <v>14178</v>
      </c>
      <c r="F11" s="270">
        <f>Data!F13</f>
        <v>14861</v>
      </c>
      <c r="G11" s="270">
        <f>Data!G13</f>
        <v>15560</v>
      </c>
      <c r="H11" s="270">
        <f>Data!H13</f>
        <v>16311</v>
      </c>
      <c r="I11" s="254">
        <f t="shared" ref="I11:O11" si="1">H11*(1+I93)</f>
        <v>17098.246850899744</v>
      </c>
      <c r="J11" s="253">
        <f t="shared" si="1"/>
        <v>17901.86445289203</v>
      </c>
      <c r="K11" s="253">
        <f t="shared" si="1"/>
        <v>18725.350217725063</v>
      </c>
      <c r="L11" s="253">
        <f t="shared" si="1"/>
        <v>19567.990977522688</v>
      </c>
      <c r="M11" s="253">
        <f t="shared" si="1"/>
        <v>20428.982580533688</v>
      </c>
      <c r="N11" s="253">
        <f t="shared" si="1"/>
        <v>21286.999848916104</v>
      </c>
      <c r="O11" s="253">
        <f t="shared" si="1"/>
        <v>22181.053842570582</v>
      </c>
    </row>
    <row r="12" spans="2:15">
      <c r="B12" s="331" t="s">
        <v>386</v>
      </c>
      <c r="C12" s="288"/>
      <c r="D12" s="288">
        <f>IF(ISERROR(D11/C11-1),0,D11/C11-1)</f>
        <v>4.8286001702391168E-2</v>
      </c>
      <c r="E12" s="288">
        <f t="shared" ref="E12:M12" si="2">IF(ISERROR(E11/D11-1),0,E11/D11-1)</f>
        <v>4.6578578283014593E-2</v>
      </c>
      <c r="F12" s="288">
        <f t="shared" si="2"/>
        <v>4.8173226124982316E-2</v>
      </c>
      <c r="G12" s="288">
        <f t="shared" si="2"/>
        <v>4.7035865688715539E-2</v>
      </c>
      <c r="H12" s="288">
        <f t="shared" si="2"/>
        <v>4.8264781491002662E-2</v>
      </c>
      <c r="I12" s="17">
        <f t="shared" si="2"/>
        <v>4.8264781491002662E-2</v>
      </c>
      <c r="J12" s="4">
        <f t="shared" si="2"/>
        <v>4.6999999999999931E-2</v>
      </c>
      <c r="K12" s="4">
        <f t="shared" si="2"/>
        <v>4.6000000000000041E-2</v>
      </c>
      <c r="L12" s="4">
        <f t="shared" si="2"/>
        <v>4.4999999999999929E-2</v>
      </c>
      <c r="M12" s="4">
        <f t="shared" si="2"/>
        <v>4.4000000000000039E-2</v>
      </c>
      <c r="N12" s="4">
        <f t="shared" ref="N12" si="3">IF(ISERROR(N11/M11-1),0,N11/M11-1)</f>
        <v>4.2000000000000037E-2</v>
      </c>
      <c r="O12" s="4">
        <f t="shared" ref="O12" si="4">IF(ISERROR(O11/N11-1),0,O11/N11-1)</f>
        <v>4.2000000000000037E-2</v>
      </c>
    </row>
    <row r="13" spans="2:15">
      <c r="B13" t="s">
        <v>1</v>
      </c>
      <c r="C13" s="289">
        <f>Data!C14</f>
        <v>-7901</v>
      </c>
      <c r="D13" s="289">
        <f>Data!D14</f>
        <v>-8821</v>
      </c>
      <c r="E13" s="289">
        <f>Data!E14</f>
        <v>-9197</v>
      </c>
      <c r="F13" s="289">
        <f>Data!F14</f>
        <v>-9643</v>
      </c>
      <c r="G13" s="289">
        <f>Data!G14</f>
        <v>-10121</v>
      </c>
      <c r="H13" s="289">
        <f>Data!H14</f>
        <v>-10680</v>
      </c>
      <c r="I13" s="255">
        <f t="shared" ref="I13:O13" si="5">0-(I94*I11)</f>
        <v>-11195.467866323908</v>
      </c>
      <c r="J13" s="256">
        <f t="shared" si="5"/>
        <v>-11770.475877776509</v>
      </c>
      <c r="K13" s="256">
        <f t="shared" si="5"/>
        <v>-12358.731143698542</v>
      </c>
      <c r="L13" s="256">
        <f t="shared" si="5"/>
        <v>-12914.874045164974</v>
      </c>
      <c r="M13" s="256">
        <f t="shared" si="5"/>
        <v>-13483.128503152235</v>
      </c>
      <c r="N13" s="256">
        <f t="shared" si="5"/>
        <v>-14049.419900284629</v>
      </c>
      <c r="O13" s="256">
        <f t="shared" si="5"/>
        <v>-14639.495536096585</v>
      </c>
    </row>
    <row r="14" spans="2:15">
      <c r="B14" t="s">
        <v>2</v>
      </c>
      <c r="C14" s="253">
        <f>C11+C13</f>
        <v>5022</v>
      </c>
      <c r="D14" s="253">
        <f t="shared" ref="D14:O14" si="6">D11+D13</f>
        <v>4726</v>
      </c>
      <c r="E14" s="253">
        <f t="shared" si="6"/>
        <v>4981</v>
      </c>
      <c r="F14" s="253">
        <f t="shared" si="6"/>
        <v>5218</v>
      </c>
      <c r="G14" s="253">
        <f t="shared" si="6"/>
        <v>5439</v>
      </c>
      <c r="H14" s="253">
        <f t="shared" si="6"/>
        <v>5631</v>
      </c>
      <c r="I14" s="254">
        <f t="shared" si="6"/>
        <v>5902.7789845758361</v>
      </c>
      <c r="J14" s="253">
        <f t="shared" si="6"/>
        <v>6131.3885751155212</v>
      </c>
      <c r="K14" s="253">
        <f t="shared" si="6"/>
        <v>6366.619074026521</v>
      </c>
      <c r="L14" s="253">
        <f t="shared" si="6"/>
        <v>6653.1169323577142</v>
      </c>
      <c r="M14" s="253">
        <f t="shared" si="6"/>
        <v>6945.854077381453</v>
      </c>
      <c r="N14" s="253">
        <f t="shared" si="6"/>
        <v>7237.5799486314754</v>
      </c>
      <c r="O14" s="253">
        <f t="shared" si="6"/>
        <v>7541.5583064739967</v>
      </c>
    </row>
    <row r="15" spans="2:15">
      <c r="B15" s="331" t="s">
        <v>387</v>
      </c>
      <c r="C15" s="288">
        <f>IF(ISERROR(C14/C11),0,C14/C11)</f>
        <v>0.3886094560086667</v>
      </c>
      <c r="D15" s="288">
        <f t="shared" ref="D15:M15" si="7">IF(ISERROR(D14/D11),0,D14/D11)</f>
        <v>0.34885952609433823</v>
      </c>
      <c r="E15" s="288">
        <f t="shared" si="7"/>
        <v>0.35131894484412468</v>
      </c>
      <c r="F15" s="288">
        <f t="shared" si="7"/>
        <v>0.35112038220846509</v>
      </c>
      <c r="G15" s="288">
        <f t="shared" si="7"/>
        <v>0.34955012853470435</v>
      </c>
      <c r="H15" s="288">
        <f t="shared" si="7"/>
        <v>0.34522714732389187</v>
      </c>
      <c r="I15" s="17">
        <f t="shared" si="7"/>
        <v>0.34522714732389187</v>
      </c>
      <c r="J15" s="4">
        <f t="shared" si="7"/>
        <v>0.34250000000000003</v>
      </c>
      <c r="K15" s="4">
        <f t="shared" si="7"/>
        <v>0.33999999999999997</v>
      </c>
      <c r="L15" s="4">
        <f t="shared" si="7"/>
        <v>0.34</v>
      </c>
      <c r="M15" s="4">
        <f t="shared" si="7"/>
        <v>0.33999999999999997</v>
      </c>
      <c r="N15" s="4">
        <f t="shared" ref="N15" si="8">IF(ISERROR(N14/N11),0,N14/N11)</f>
        <v>0.33999999999999997</v>
      </c>
      <c r="O15" s="4">
        <f t="shared" ref="O15" si="9">IF(ISERROR(O14/O11),0,O14/O11)</f>
        <v>0.33999999999999997</v>
      </c>
    </row>
    <row r="16" spans="2:15">
      <c r="B16" t="s">
        <v>3</v>
      </c>
      <c r="C16" s="289">
        <f>Data!C16</f>
        <v>-2595</v>
      </c>
      <c r="D16" s="289">
        <f>Data!D16</f>
        <v>-2604</v>
      </c>
      <c r="E16" s="289">
        <f>Data!E16</f>
        <v>-2896</v>
      </c>
      <c r="F16" s="289">
        <f>Data!F16</f>
        <v>-2987</v>
      </c>
      <c r="G16" s="289">
        <f>Data!G16</f>
        <v>-3241</v>
      </c>
      <c r="H16" s="289">
        <f>Data!H16</f>
        <v>-3502</v>
      </c>
      <c r="I16" s="255">
        <f t="shared" ref="I16:O16" si="10">0-(I95*I11)</f>
        <v>-3671.0232647814914</v>
      </c>
      <c r="J16" s="256">
        <f t="shared" si="10"/>
        <v>-3938.4101796362465</v>
      </c>
      <c r="K16" s="256">
        <f t="shared" si="10"/>
        <v>-4119.5770478995137</v>
      </c>
      <c r="L16" s="256">
        <f t="shared" si="10"/>
        <v>-4304.9580150549909</v>
      </c>
      <c r="M16" s="256">
        <f t="shared" si="10"/>
        <v>-4494.3761677174116</v>
      </c>
      <c r="N16" s="256">
        <f t="shared" si="10"/>
        <v>-4683.1399667615433</v>
      </c>
      <c r="O16" s="256">
        <f t="shared" si="10"/>
        <v>-4879.8318453655284</v>
      </c>
    </row>
    <row r="17" spans="2:15">
      <c r="B17" t="s">
        <v>4</v>
      </c>
      <c r="C17" s="253">
        <f>C14+C16</f>
        <v>2427</v>
      </c>
      <c r="D17" s="253">
        <f t="shared" ref="D17:O17" si="11">D14+D16</f>
        <v>2122</v>
      </c>
      <c r="E17" s="253">
        <f t="shared" si="11"/>
        <v>2085</v>
      </c>
      <c r="F17" s="253">
        <f t="shared" si="11"/>
        <v>2231</v>
      </c>
      <c r="G17" s="253">
        <f t="shared" si="11"/>
        <v>2198</v>
      </c>
      <c r="H17" s="253">
        <f t="shared" si="11"/>
        <v>2129</v>
      </c>
      <c r="I17" s="254">
        <f t="shared" si="11"/>
        <v>2231.7557197943447</v>
      </c>
      <c r="J17" s="253">
        <f t="shared" si="11"/>
        <v>2192.9783954792747</v>
      </c>
      <c r="K17" s="253">
        <f t="shared" si="11"/>
        <v>2247.0420261270074</v>
      </c>
      <c r="L17" s="253">
        <f t="shared" si="11"/>
        <v>2348.1589173027232</v>
      </c>
      <c r="M17" s="253">
        <f t="shared" si="11"/>
        <v>2451.4779096640414</v>
      </c>
      <c r="N17" s="253">
        <f t="shared" si="11"/>
        <v>2554.4399818699321</v>
      </c>
      <c r="O17" s="253">
        <f t="shared" si="11"/>
        <v>2661.7264611084684</v>
      </c>
    </row>
    <row r="18" spans="2:15">
      <c r="B18" s="331" t="s">
        <v>387</v>
      </c>
      <c r="C18" s="288">
        <f>IF(ISERROR(C17/C11),0,C17/C11)</f>
        <v>0.18780468931362687</v>
      </c>
      <c r="D18" s="288">
        <f t="shared" ref="D18:M18" si="12">IF(ISERROR(D17/D11),0,D17/D11)</f>
        <v>0.15663984646047097</v>
      </c>
      <c r="E18" s="288">
        <f t="shared" si="12"/>
        <v>0.14705882352941177</v>
      </c>
      <c r="F18" s="288">
        <f t="shared" si="12"/>
        <v>0.15012448691205169</v>
      </c>
      <c r="G18" s="288">
        <f t="shared" si="12"/>
        <v>0.14125964010282777</v>
      </c>
      <c r="H18" s="288">
        <f t="shared" si="12"/>
        <v>0.13052541229844891</v>
      </c>
      <c r="I18" s="17">
        <f t="shared" si="12"/>
        <v>0.13052541229844891</v>
      </c>
      <c r="J18" s="4">
        <f t="shared" si="12"/>
        <v>0.12250000000000005</v>
      </c>
      <c r="K18" s="4">
        <f t="shared" si="12"/>
        <v>0.12</v>
      </c>
      <c r="L18" s="4">
        <f t="shared" si="12"/>
        <v>0.12000000000000004</v>
      </c>
      <c r="M18" s="4">
        <f t="shared" si="12"/>
        <v>0.11999999999999994</v>
      </c>
      <c r="N18" s="4">
        <f t="shared" ref="N18" si="13">IF(ISERROR(N17/N11),0,N17/N11)</f>
        <v>0.11999999999999998</v>
      </c>
      <c r="O18" s="4">
        <f t="shared" ref="O18" si="14">IF(ISERROR(O17/O11),0,O17/O11)</f>
        <v>0.11999999999999994</v>
      </c>
    </row>
    <row r="19" spans="2:15">
      <c r="B19" s="331" t="s">
        <v>386</v>
      </c>
      <c r="C19" s="288"/>
      <c r="D19" s="288">
        <f>IF(ISERROR(D17/C17-1),0,D17/C17-1)</f>
        <v>-0.12566955088586729</v>
      </c>
      <c r="E19" s="288">
        <f t="shared" ref="E19:O19" si="15">IF(ISERROR(E17/D17-1),0,E17/D17-1)</f>
        <v>-1.7436380772855808E-2</v>
      </c>
      <c r="F19" s="288">
        <f t="shared" si="15"/>
        <v>7.0023980815347775E-2</v>
      </c>
      <c r="G19" s="288">
        <f t="shared" si="15"/>
        <v>-1.4791573285522164E-2</v>
      </c>
      <c r="H19" s="288">
        <f t="shared" si="15"/>
        <v>-3.1392174704276576E-2</v>
      </c>
      <c r="I19" s="17">
        <f t="shared" si="15"/>
        <v>4.8264781491002662E-2</v>
      </c>
      <c r="J19" s="4">
        <f t="shared" si="15"/>
        <v>-1.7375254814466556E-2</v>
      </c>
      <c r="K19" s="4">
        <f t="shared" si="15"/>
        <v>2.4653061224489292E-2</v>
      </c>
      <c r="L19" s="4">
        <f t="shared" si="15"/>
        <v>4.5000000000000151E-2</v>
      </c>
      <c r="M19" s="4">
        <f t="shared" si="15"/>
        <v>4.3999999999999373E-2</v>
      </c>
      <c r="N19" s="4">
        <f t="shared" si="15"/>
        <v>4.2000000000000481E-2</v>
      </c>
      <c r="O19" s="4">
        <f t="shared" si="15"/>
        <v>4.1999999999999593E-2</v>
      </c>
    </row>
    <row r="20" spans="2:15">
      <c r="B20" t="s">
        <v>5</v>
      </c>
      <c r="C20" s="289">
        <f>Data!C17</f>
        <v>-481</v>
      </c>
      <c r="D20" s="289">
        <f>Data!D17</f>
        <v>-516</v>
      </c>
      <c r="E20" s="289">
        <f>Data!E17</f>
        <v>-484</v>
      </c>
      <c r="F20" s="289">
        <f>Data!F17</f>
        <v>-479</v>
      </c>
      <c r="G20" s="289">
        <f>Data!G17</f>
        <v>-467</v>
      </c>
      <c r="H20" s="289">
        <f>Data!H17</f>
        <v>-478</v>
      </c>
      <c r="I20" s="255">
        <f t="shared" ref="I20:O20" si="16">0-(I96*I11)</f>
        <v>-501.07056555269929</v>
      </c>
      <c r="J20" s="256">
        <f t="shared" si="16"/>
        <v>-519.15406913386892</v>
      </c>
      <c r="K20" s="256">
        <f t="shared" si="16"/>
        <v>-543.03515631402684</v>
      </c>
      <c r="L20" s="256">
        <f t="shared" si="16"/>
        <v>-567.47173834815794</v>
      </c>
      <c r="M20" s="256">
        <f t="shared" si="16"/>
        <v>-592.44049483547701</v>
      </c>
      <c r="N20" s="256">
        <f t="shared" si="16"/>
        <v>-617.32299561856701</v>
      </c>
      <c r="O20" s="256">
        <f t="shared" si="16"/>
        <v>-643.25056143454685</v>
      </c>
    </row>
    <row r="21" spans="2:15">
      <c r="B21" t="s">
        <v>6</v>
      </c>
      <c r="C21" s="253">
        <f>C17+C20</f>
        <v>1946</v>
      </c>
      <c r="D21" s="253">
        <f t="shared" ref="D21:O21" si="17">D17+D20</f>
        <v>1606</v>
      </c>
      <c r="E21" s="253">
        <f t="shared" si="17"/>
        <v>1601</v>
      </c>
      <c r="F21" s="253">
        <f t="shared" si="17"/>
        <v>1752</v>
      </c>
      <c r="G21" s="253">
        <f t="shared" si="17"/>
        <v>1731</v>
      </c>
      <c r="H21" s="253">
        <f t="shared" si="17"/>
        <v>1651</v>
      </c>
      <c r="I21" s="254">
        <f t="shared" si="17"/>
        <v>1730.6851542416455</v>
      </c>
      <c r="J21" s="253">
        <f t="shared" si="17"/>
        <v>1673.8243263454058</v>
      </c>
      <c r="K21" s="253">
        <f t="shared" si="17"/>
        <v>1704.0068698129805</v>
      </c>
      <c r="L21" s="253">
        <f t="shared" si="17"/>
        <v>1780.6871789545653</v>
      </c>
      <c r="M21" s="253">
        <f t="shared" si="17"/>
        <v>1859.0374148285644</v>
      </c>
      <c r="N21" s="253">
        <f t="shared" si="17"/>
        <v>1937.1169862513652</v>
      </c>
      <c r="O21" s="253">
        <f t="shared" si="17"/>
        <v>2018.4758996739215</v>
      </c>
    </row>
    <row r="22" spans="2:15">
      <c r="B22" s="331" t="s">
        <v>387</v>
      </c>
      <c r="C22" s="288">
        <f>IF(ISERROR(C21/C11),0,C21/C11)</f>
        <v>0.15058422966803373</v>
      </c>
      <c r="D22" s="288">
        <f t="shared" ref="D22:O22" si="18">IF(ISERROR(D21/D11),0,D21/D11)</f>
        <v>0.118550232523806</v>
      </c>
      <c r="E22" s="288">
        <f t="shared" si="18"/>
        <v>0.11292142756383129</v>
      </c>
      <c r="F22" s="288">
        <f t="shared" si="18"/>
        <v>0.11789247022407644</v>
      </c>
      <c r="G22" s="288">
        <f t="shared" si="18"/>
        <v>0.11124678663239075</v>
      </c>
      <c r="H22" s="288">
        <f t="shared" si="18"/>
        <v>0.10122003555882533</v>
      </c>
      <c r="I22" s="17">
        <f t="shared" si="18"/>
        <v>0.10122003555882533</v>
      </c>
      <c r="J22" s="4">
        <f t="shared" si="18"/>
        <v>9.3500000000000055E-2</v>
      </c>
      <c r="K22" s="4">
        <f t="shared" si="18"/>
        <v>9.0999999999999984E-2</v>
      </c>
      <c r="L22" s="4">
        <f t="shared" si="18"/>
        <v>9.1000000000000039E-2</v>
      </c>
      <c r="M22" s="4">
        <f t="shared" si="18"/>
        <v>9.0999999999999942E-2</v>
      </c>
      <c r="N22" s="4">
        <f t="shared" si="18"/>
        <v>9.0999999999999984E-2</v>
      </c>
      <c r="O22" s="4">
        <f t="shared" si="18"/>
        <v>9.0999999999999942E-2</v>
      </c>
    </row>
    <row r="23" spans="2:15">
      <c r="B23" t="s">
        <v>376</v>
      </c>
      <c r="C23" s="289">
        <f t="shared" ref="C23:O23" si="19">0-(C21*C98)</f>
        <v>-681.09999999999991</v>
      </c>
      <c r="D23" s="289">
        <f t="shared" si="19"/>
        <v>-337.26</v>
      </c>
      <c r="E23" s="289">
        <f t="shared" si="19"/>
        <v>-336.21</v>
      </c>
      <c r="F23" s="289">
        <f t="shared" si="19"/>
        <v>-367.91999999999996</v>
      </c>
      <c r="G23" s="289">
        <f t="shared" si="19"/>
        <v>-363.51</v>
      </c>
      <c r="H23" s="289">
        <f t="shared" si="19"/>
        <v>-346.71</v>
      </c>
      <c r="I23" s="255">
        <f t="shared" si="19"/>
        <v>-363.44388239074556</v>
      </c>
      <c r="J23" s="256">
        <f t="shared" si="19"/>
        <v>-351.50310853253518</v>
      </c>
      <c r="K23" s="256">
        <f t="shared" si="19"/>
        <v>-357.84144266072587</v>
      </c>
      <c r="L23" s="256">
        <f t="shared" si="19"/>
        <v>-373.94430758045871</v>
      </c>
      <c r="M23" s="256">
        <f t="shared" si="19"/>
        <v>-390.3978571139985</v>
      </c>
      <c r="N23" s="256">
        <f t="shared" si="19"/>
        <v>-406.79456711278669</v>
      </c>
      <c r="O23" s="256">
        <f t="shared" si="19"/>
        <v>-423.8799389315235</v>
      </c>
    </row>
    <row r="24" spans="2:15">
      <c r="B24" t="s">
        <v>151</v>
      </c>
      <c r="C24" s="253">
        <f t="shared" ref="C24:O24" si="20">C21+C23</f>
        <v>1264.9000000000001</v>
      </c>
      <c r="D24" s="253">
        <f t="shared" si="20"/>
        <v>1268.74</v>
      </c>
      <c r="E24" s="253">
        <f t="shared" si="20"/>
        <v>1264.79</v>
      </c>
      <c r="F24" s="253">
        <f t="shared" si="20"/>
        <v>1384.08</v>
      </c>
      <c r="G24" s="253">
        <f t="shared" si="20"/>
        <v>1367.49</v>
      </c>
      <c r="H24" s="253">
        <f t="shared" si="20"/>
        <v>1304.29</v>
      </c>
      <c r="I24" s="254">
        <f t="shared" si="20"/>
        <v>1367.2412718508999</v>
      </c>
      <c r="J24" s="253">
        <f t="shared" si="20"/>
        <v>1322.3212178128706</v>
      </c>
      <c r="K24" s="253">
        <f t="shared" si="20"/>
        <v>1346.1654271522548</v>
      </c>
      <c r="L24" s="253">
        <f t="shared" si="20"/>
        <v>1406.7428713741065</v>
      </c>
      <c r="M24" s="253">
        <f t="shared" si="20"/>
        <v>1468.6395577145659</v>
      </c>
      <c r="N24" s="253">
        <f t="shared" si="20"/>
        <v>1530.3224191385784</v>
      </c>
      <c r="O24" s="253">
        <f t="shared" si="20"/>
        <v>1594.5959607423979</v>
      </c>
    </row>
    <row r="25" spans="2:15">
      <c r="B25" s="331" t="s">
        <v>387</v>
      </c>
      <c r="C25" s="4">
        <f t="shared" ref="C25:O25" si="21">IF(ISERROR(C24/C11),0,C24/C11)</f>
        <v>9.787974928422194E-2</v>
      </c>
      <c r="D25" s="4">
        <f t="shared" si="21"/>
        <v>9.3654683693806751E-2</v>
      </c>
      <c r="E25" s="4">
        <f t="shared" si="21"/>
        <v>8.9207927775426715E-2</v>
      </c>
      <c r="F25" s="4">
        <f t="shared" si="21"/>
        <v>9.3135051477020378E-2</v>
      </c>
      <c r="G25" s="4">
        <f t="shared" si="21"/>
        <v>8.7884961439588696E-2</v>
      </c>
      <c r="H25" s="4">
        <f t="shared" si="21"/>
        <v>7.9963828091472011E-2</v>
      </c>
      <c r="I25" s="17">
        <f t="shared" si="21"/>
        <v>7.9963828091472011E-2</v>
      </c>
      <c r="J25" s="4">
        <f t="shared" si="21"/>
        <v>7.3865000000000042E-2</v>
      </c>
      <c r="K25" s="4">
        <f t="shared" si="21"/>
        <v>7.1889999999999996E-2</v>
      </c>
      <c r="L25" s="4">
        <f t="shared" si="21"/>
        <v>7.1890000000000023E-2</v>
      </c>
      <c r="M25" s="4">
        <f t="shared" si="21"/>
        <v>7.1889999999999954E-2</v>
      </c>
      <c r="N25" s="4">
        <f t="shared" si="21"/>
        <v>7.1889999999999982E-2</v>
      </c>
      <c r="O25" s="4">
        <f t="shared" si="21"/>
        <v>7.188999999999994E-2</v>
      </c>
    </row>
    <row r="26" spans="2:15">
      <c r="B26" s="331" t="s">
        <v>386</v>
      </c>
      <c r="C26" s="288"/>
      <c r="D26" s="288">
        <f>IF(ISERROR(D24/C24-1),0,D24/C24-1)</f>
        <v>3.0358131077554695E-3</v>
      </c>
      <c r="E26" s="288">
        <f t="shared" ref="E26:O26" si="22">IF(ISERROR(E24/D24-1),0,E24/D24-1)</f>
        <v>-3.1133250311332628E-3</v>
      </c>
      <c r="F26" s="288">
        <f t="shared" si="22"/>
        <v>9.4316052467207978E-2</v>
      </c>
      <c r="G26" s="288">
        <f t="shared" si="22"/>
        <v>-1.1986301369863006E-2</v>
      </c>
      <c r="H26" s="288">
        <f t="shared" si="22"/>
        <v>-4.6216060080878085E-2</v>
      </c>
      <c r="I26" s="17">
        <f t="shared" si="22"/>
        <v>4.8264781491002662E-2</v>
      </c>
      <c r="J26" s="4">
        <f t="shared" si="22"/>
        <v>-3.2854518776498698E-2</v>
      </c>
      <c r="K26" s="4">
        <f t="shared" si="22"/>
        <v>1.8032085561496602E-2</v>
      </c>
      <c r="L26" s="4">
        <f t="shared" si="22"/>
        <v>4.5000000000000151E-2</v>
      </c>
      <c r="M26" s="4">
        <f t="shared" si="22"/>
        <v>4.3999999999999151E-2</v>
      </c>
      <c r="N26" s="4">
        <f t="shared" si="22"/>
        <v>4.2000000000000481E-2</v>
      </c>
      <c r="O26" s="4">
        <f t="shared" si="22"/>
        <v>4.1999999999999371E-2</v>
      </c>
    </row>
    <row r="27" spans="2:15">
      <c r="B27" s="331"/>
      <c r="C27" s="253"/>
      <c r="D27" s="253"/>
      <c r="E27" s="253"/>
      <c r="F27" s="253"/>
      <c r="G27" s="253"/>
      <c r="H27" s="253"/>
      <c r="I27" s="17"/>
      <c r="J27" s="4"/>
      <c r="K27" s="4"/>
      <c r="L27" s="4"/>
      <c r="M27" s="4"/>
      <c r="N27" s="4"/>
      <c r="O27" s="4"/>
    </row>
    <row r="28" spans="2:15">
      <c r="B28" t="s">
        <v>8</v>
      </c>
      <c r="C28" s="253">
        <f t="shared" ref="C28:O28" si="23">0-C20</f>
        <v>481</v>
      </c>
      <c r="D28" s="253">
        <f t="shared" si="23"/>
        <v>516</v>
      </c>
      <c r="E28" s="253">
        <f t="shared" si="23"/>
        <v>484</v>
      </c>
      <c r="F28" s="253">
        <f t="shared" si="23"/>
        <v>479</v>
      </c>
      <c r="G28" s="253">
        <f t="shared" si="23"/>
        <v>467</v>
      </c>
      <c r="H28" s="253">
        <f t="shared" si="23"/>
        <v>478</v>
      </c>
      <c r="I28" s="254">
        <f t="shared" si="23"/>
        <v>501.07056555269929</v>
      </c>
      <c r="J28" s="253">
        <f t="shared" si="23"/>
        <v>519.15406913386892</v>
      </c>
      <c r="K28" s="253">
        <f t="shared" si="23"/>
        <v>543.03515631402684</v>
      </c>
      <c r="L28" s="253">
        <f t="shared" si="23"/>
        <v>567.47173834815794</v>
      </c>
      <c r="M28" s="253">
        <f t="shared" si="23"/>
        <v>592.44049483547701</v>
      </c>
      <c r="N28" s="253">
        <f t="shared" si="23"/>
        <v>617.32299561856701</v>
      </c>
      <c r="O28" s="253">
        <f t="shared" si="23"/>
        <v>643.25056143454685</v>
      </c>
    </row>
    <row r="29" spans="2:15">
      <c r="B29" t="s">
        <v>9</v>
      </c>
      <c r="C29" s="287">
        <f>Data!C61</f>
        <v>-501</v>
      </c>
      <c r="D29" s="287">
        <f>Data!D61</f>
        <v>-578</v>
      </c>
      <c r="E29" s="287">
        <f>Data!E61</f>
        <v>-586</v>
      </c>
      <c r="F29" s="287">
        <f>Data!F61</f>
        <v>-505</v>
      </c>
      <c r="G29" s="287">
        <f>Data!G61</f>
        <v>-553</v>
      </c>
      <c r="H29" s="253">
        <f>Data!H61</f>
        <v>-488</v>
      </c>
      <c r="I29" s="254">
        <f t="shared" ref="I29:O29" si="24">0-I97*I11</f>
        <v>-511.55321336760932</v>
      </c>
      <c r="J29" s="253">
        <f t="shared" si="24"/>
        <v>-537.05593358676094</v>
      </c>
      <c r="K29" s="253">
        <f t="shared" si="24"/>
        <v>-561.76050653175196</v>
      </c>
      <c r="L29" s="253">
        <f t="shared" si="24"/>
        <v>-587.0397293256807</v>
      </c>
      <c r="M29" s="253">
        <f t="shared" si="24"/>
        <v>-612.86947741601068</v>
      </c>
      <c r="N29" s="253">
        <f t="shared" si="24"/>
        <v>-638.60999546748315</v>
      </c>
      <c r="O29" s="253">
        <f t="shared" si="24"/>
        <v>-665.43161527711754</v>
      </c>
    </row>
    <row r="30" spans="2:15">
      <c r="B30" s="6" t="s">
        <v>23</v>
      </c>
      <c r="C30" s="256">
        <f>C124</f>
        <v>-255</v>
      </c>
      <c r="D30" s="256">
        <f t="shared" ref="D30:H30" si="25">D124</f>
        <v>112</v>
      </c>
      <c r="E30" s="256">
        <f t="shared" si="25"/>
        <v>196</v>
      </c>
      <c r="F30" s="256">
        <f t="shared" si="25"/>
        <v>-237</v>
      </c>
      <c r="G30" s="256">
        <f t="shared" si="25"/>
        <v>-188</v>
      </c>
      <c r="H30" s="256">
        <f t="shared" si="25"/>
        <v>-120</v>
      </c>
      <c r="I30" s="255">
        <f>I124</f>
        <v>-55.686828586646698</v>
      </c>
      <c r="J30" s="256">
        <f t="shared" ref="J30:O30" si="26">J124</f>
        <v>-106.09907047376601</v>
      </c>
      <c r="K30" s="256">
        <f t="shared" si="26"/>
        <v>-48.029966634049742</v>
      </c>
      <c r="L30" s="256">
        <f t="shared" si="26"/>
        <v>-85.192648141244263</v>
      </c>
      <c r="M30" s="256">
        <f t="shared" si="26"/>
        <v>-34.628374608770628</v>
      </c>
      <c r="N30" s="256">
        <f t="shared" si="26"/>
        <v>-34.50874931466933</v>
      </c>
      <c r="O30" s="256">
        <f t="shared" si="26"/>
        <v>-35.958116785883249</v>
      </c>
    </row>
    <row r="31" spans="2:15">
      <c r="B31" s="3" t="s">
        <v>297</v>
      </c>
      <c r="C31" s="257">
        <f t="shared" ref="C31:H31" si="27">C24+SUM(C28:C30)</f>
        <v>989.90000000000009</v>
      </c>
      <c r="D31" s="257">
        <f t="shared" si="27"/>
        <v>1318.74</v>
      </c>
      <c r="E31" s="257">
        <f t="shared" si="27"/>
        <v>1358.79</v>
      </c>
      <c r="F31" s="257">
        <f t="shared" si="27"/>
        <v>1121.08</v>
      </c>
      <c r="G31" s="257">
        <f t="shared" si="27"/>
        <v>1093.49</v>
      </c>
      <c r="H31" s="257">
        <f t="shared" si="27"/>
        <v>1174.29</v>
      </c>
      <c r="I31" s="258">
        <f t="shared" ref="I31:O31" si="28">I24+SUM(I28:I30)</f>
        <v>1301.0717954493432</v>
      </c>
      <c r="J31" s="257">
        <f t="shared" si="28"/>
        <v>1198.3202828862127</v>
      </c>
      <c r="K31" s="257">
        <f t="shared" si="28"/>
        <v>1279.41011030048</v>
      </c>
      <c r="L31" s="257">
        <f t="shared" si="28"/>
        <v>1301.9822322553396</v>
      </c>
      <c r="M31" s="257">
        <f t="shared" si="28"/>
        <v>1413.5822005252617</v>
      </c>
      <c r="N31" s="257">
        <f t="shared" si="28"/>
        <v>1474.526669974993</v>
      </c>
      <c r="O31" s="257">
        <f t="shared" si="28"/>
        <v>1536.456790113944</v>
      </c>
    </row>
    <row r="32" spans="2:15">
      <c r="B32" s="331" t="s">
        <v>386</v>
      </c>
      <c r="C32" s="257"/>
      <c r="D32" s="288">
        <f>IF(ISERROR(D31/C31-1),0,D31/C31-1)</f>
        <v>0.33219517122941711</v>
      </c>
      <c r="E32" s="288">
        <f t="shared" ref="E32" si="29">IF(ISERROR(E31/D31-1),0,E31/D31-1)</f>
        <v>3.0369898539514883E-2</v>
      </c>
      <c r="F32" s="288">
        <f t="shared" ref="F32" si="30">IF(ISERROR(F31/E31-1),0,F31/E31-1)</f>
        <v>-0.17494241199891081</v>
      </c>
      <c r="G32" s="288">
        <f t="shared" ref="G32" si="31">IF(ISERROR(G31/F31-1),0,G31/F31-1)</f>
        <v>-2.4610197309737014E-2</v>
      </c>
      <c r="H32" s="288">
        <f t="shared" ref="H32" si="32">IF(ISERROR(H31/G31-1),0,H31/G31-1)</f>
        <v>7.3891850862833675E-2</v>
      </c>
      <c r="I32" s="17">
        <f t="shared" ref="I32" si="33">IF(ISERROR(I31/H31-1),0,I31/H31-1)</f>
        <v>0.10796463858956762</v>
      </c>
      <c r="J32" s="4">
        <f t="shared" ref="J32" si="34">IF(ISERROR(J31/I31-1),0,J31/I31-1)</f>
        <v>-7.8974513875803343E-2</v>
      </c>
      <c r="K32" s="4">
        <f t="shared" ref="K32" si="35">IF(ISERROR(K31/J31-1),0,K31/J31-1)</f>
        <v>6.7669577634919653E-2</v>
      </c>
      <c r="L32" s="4">
        <f t="shared" ref="L32" si="36">IF(ISERROR(L31/K31-1),0,L31/K31-1)</f>
        <v>1.7642600893280624E-2</v>
      </c>
      <c r="M32" s="4">
        <f t="shared" ref="M32" si="37">IF(ISERROR(M31/L31-1),0,M31/L31-1)</f>
        <v>8.5715431059765423E-2</v>
      </c>
      <c r="N32" s="4">
        <f t="shared" ref="N32" si="38">IF(ISERROR(N31/M31-1),0,N31/M31-1)</f>
        <v>4.311349522304786E-2</v>
      </c>
      <c r="O32" s="4">
        <f t="shared" ref="O32" si="39">IF(ISERROR(O31/N31-1),0,O31/N31-1)</f>
        <v>4.2000000000000925E-2</v>
      </c>
    </row>
    <row r="33" spans="2:15">
      <c r="B33" s="3" t="s">
        <v>402</v>
      </c>
      <c r="C33" s="5"/>
      <c r="D33" s="5"/>
      <c r="E33" s="5"/>
      <c r="F33" s="5"/>
      <c r="G33" s="5"/>
      <c r="H33" s="5"/>
      <c r="I33" s="18"/>
      <c r="J33" s="5"/>
      <c r="K33" s="5"/>
      <c r="L33" s="5"/>
      <c r="M33" s="5"/>
      <c r="N33" s="5">
        <f>E46</f>
        <v>41256.76014718126</v>
      </c>
      <c r="O33" s="335" t="str">
        <f>IF(O12/O32-1&gt;10%,"Check that "&amp;YEAR(O10)&amp;"E Sales g and FCF g are closer","")</f>
        <v/>
      </c>
    </row>
    <row r="34" spans="2:15">
      <c r="B34" t="s">
        <v>110</v>
      </c>
      <c r="C34" s="16">
        <v>0.08</v>
      </c>
      <c r="D34" s="5"/>
      <c r="E34" s="5"/>
      <c r="F34" s="5"/>
      <c r="G34" s="5"/>
      <c r="H34" s="5"/>
      <c r="I34" s="325"/>
      <c r="J34" s="326"/>
      <c r="K34" s="5"/>
      <c r="L34" s="5"/>
      <c r="M34" s="5"/>
      <c r="N34" s="5"/>
      <c r="O34" s="5"/>
    </row>
    <row r="35" spans="2:15">
      <c r="B35" t="s">
        <v>41</v>
      </c>
      <c r="C35" s="5"/>
      <c r="D35" s="5"/>
      <c r="E35" s="5"/>
      <c r="F35" s="5"/>
      <c r="G35" s="5"/>
      <c r="H35" s="5"/>
      <c r="I35" s="250">
        <f t="shared" ref="I35:N35" si="40">YEAR(I10)-YEAR($C$4)</f>
        <v>1</v>
      </c>
      <c r="J35" s="251">
        <f t="shared" si="40"/>
        <v>2</v>
      </c>
      <c r="K35" s="251">
        <f t="shared" si="40"/>
        <v>3</v>
      </c>
      <c r="L35" s="251">
        <f t="shared" si="40"/>
        <v>4</v>
      </c>
      <c r="M35" s="251">
        <f t="shared" si="40"/>
        <v>5</v>
      </c>
      <c r="N35" s="251">
        <f t="shared" si="40"/>
        <v>6</v>
      </c>
      <c r="O35" s="251"/>
    </row>
    <row r="36" spans="2:15">
      <c r="B36" t="s">
        <v>42</v>
      </c>
      <c r="C36" s="5"/>
      <c r="D36" s="5"/>
      <c r="E36" s="5"/>
      <c r="F36" s="5"/>
      <c r="G36" s="5"/>
      <c r="H36" s="5"/>
      <c r="I36" s="250">
        <f t="shared" ref="I36:N36" si="41">1/((1+$C$34)^(I35))</f>
        <v>0.92592592592592582</v>
      </c>
      <c r="J36" s="251">
        <f t="shared" si="41"/>
        <v>0.85733882030178321</v>
      </c>
      <c r="K36" s="251">
        <f t="shared" si="41"/>
        <v>0.79383224102016958</v>
      </c>
      <c r="L36" s="251">
        <f t="shared" si="41"/>
        <v>0.73502985279645328</v>
      </c>
      <c r="M36" s="251">
        <f t="shared" si="41"/>
        <v>0.68058319703375303</v>
      </c>
      <c r="N36" s="251">
        <f t="shared" si="41"/>
        <v>0.63016962688310452</v>
      </c>
      <c r="O36" s="251"/>
    </row>
    <row r="37" spans="2:15">
      <c r="B37" s="20" t="s">
        <v>43</v>
      </c>
      <c r="C37" s="20"/>
      <c r="D37" s="20"/>
      <c r="E37" s="20"/>
      <c r="F37" s="20"/>
      <c r="G37" s="20"/>
      <c r="H37" s="20"/>
      <c r="I37" s="259">
        <f t="shared" ref="I37:N37" si="42">I31*I36</f>
        <v>1204.6961068975399</v>
      </c>
      <c r="J37" s="260">
        <f t="shared" si="42"/>
        <v>1027.3664976733646</v>
      </c>
      <c r="K37" s="260">
        <f t="shared" si="42"/>
        <v>1015.6369950436924</v>
      </c>
      <c r="L37" s="260">
        <f t="shared" si="42"/>
        <v>956.99580851823987</v>
      </c>
      <c r="M37" s="260">
        <f t="shared" si="42"/>
        <v>962.06029330349031</v>
      </c>
      <c r="N37" s="260">
        <f t="shared" si="42"/>
        <v>929.20192144732789</v>
      </c>
      <c r="O37" s="251"/>
    </row>
    <row r="38" spans="2:15">
      <c r="B38" s="20" t="s">
        <v>403</v>
      </c>
      <c r="C38" s="20"/>
      <c r="D38" s="20"/>
      <c r="E38" s="20"/>
      <c r="F38" s="20"/>
      <c r="G38" s="20"/>
      <c r="H38" s="20"/>
      <c r="I38" s="260"/>
      <c r="J38" s="260"/>
      <c r="K38" s="260"/>
      <c r="L38" s="260"/>
      <c r="M38" s="260"/>
      <c r="N38" s="260">
        <f>N33*N36</f>
        <v>25998.757148354951</v>
      </c>
      <c r="O38" s="251"/>
    </row>
    <row r="40" spans="2:15">
      <c r="B40" s="128" t="s">
        <v>32</v>
      </c>
      <c r="C40" s="129"/>
      <c r="D40" s="129"/>
      <c r="E40" s="129"/>
      <c r="F40" s="130"/>
      <c r="G40" s="128" t="s">
        <v>388</v>
      </c>
      <c r="H40" s="128"/>
      <c r="I40" s="128"/>
      <c r="J40" s="128"/>
      <c r="K40" s="130"/>
      <c r="L40" s="128" t="s">
        <v>33</v>
      </c>
      <c r="M40" s="129"/>
      <c r="N40" s="129"/>
      <c r="O40" s="131"/>
    </row>
    <row r="41" spans="2:15">
      <c r="B41" s="132" t="s">
        <v>383</v>
      </c>
      <c r="C41" s="132"/>
      <c r="D41" s="132"/>
      <c r="E41" s="261">
        <f>+SUM(I37:N37)</f>
        <v>6095.9576228836549</v>
      </c>
      <c r="F41" s="130"/>
      <c r="G41" s="130" t="s">
        <v>32</v>
      </c>
      <c r="H41" s="130"/>
      <c r="I41" s="133"/>
      <c r="J41" s="264">
        <f>+E50</f>
        <v>32094.714771238607</v>
      </c>
      <c r="K41" s="130"/>
      <c r="L41" s="130" t="str">
        <f>"Steady-state FCF ("&amp;YEAR(O10)&amp;"E)"</f>
        <v>Steady-state FCF (2029E)</v>
      </c>
      <c r="M41" s="130"/>
      <c r="N41" s="130"/>
      <c r="O41" s="267">
        <f>+O31</f>
        <v>1536.456790113944</v>
      </c>
    </row>
    <row r="42" spans="2:15">
      <c r="B42" s="134"/>
      <c r="C42" s="135"/>
      <c r="D42" s="135"/>
      <c r="E42" s="262"/>
      <c r="F42" s="130"/>
      <c r="G42" s="130" t="s">
        <v>397</v>
      </c>
      <c r="H42" s="130"/>
      <c r="I42" s="130"/>
      <c r="J42" s="302">
        <f>0-(Data!H41+Data!H46)</f>
        <v>-3257</v>
      </c>
      <c r="K42" s="130"/>
      <c r="L42" s="130" t="s">
        <v>34</v>
      </c>
      <c r="M42" s="130"/>
      <c r="N42" s="130"/>
      <c r="O42" s="136">
        <f>C34</f>
        <v>0.08</v>
      </c>
    </row>
    <row r="43" spans="2:15">
      <c r="B43" s="137" t="str">
        <f>"Terminal Value Calculation in "&amp;YEAR(N10)&amp;"E"</f>
        <v>Terminal Value Calculation in 2028E</v>
      </c>
      <c r="C43" s="137"/>
      <c r="D43" s="137"/>
      <c r="E43" s="263"/>
      <c r="F43" s="130"/>
      <c r="G43" s="130" t="s">
        <v>35</v>
      </c>
      <c r="H43" s="130"/>
      <c r="I43" s="130"/>
      <c r="J43" s="302">
        <v>0</v>
      </c>
      <c r="K43" s="130"/>
      <c r="L43" s="130" t="str">
        <f>"Terminal Value in "&amp;YEAR(N10)&amp;"E"</f>
        <v>Terminal Value in 2028E</v>
      </c>
      <c r="M43" s="130"/>
      <c r="N43" s="130"/>
      <c r="O43" s="267">
        <f>+E46</f>
        <v>41256.76014718126</v>
      </c>
    </row>
    <row r="44" spans="2:15">
      <c r="B44" s="130" t="str">
        <f>"Steady-state EBITDA ("&amp;YEAR(O10)&amp; "E)"</f>
        <v>Steady-state EBITDA (2029E)</v>
      </c>
      <c r="C44" s="138"/>
      <c r="D44" s="138"/>
      <c r="E44" s="264">
        <f>+O17</f>
        <v>2661.7264611084684</v>
      </c>
      <c r="F44" s="130"/>
      <c r="G44" s="130" t="s">
        <v>36</v>
      </c>
      <c r="H44" s="130"/>
      <c r="I44" s="130"/>
      <c r="J44" s="302">
        <f>0-Data!H51</f>
        <v>-450</v>
      </c>
      <c r="K44" s="130"/>
      <c r="L44" s="130"/>
      <c r="M44" s="130"/>
      <c r="N44" s="130"/>
      <c r="O44" s="130"/>
    </row>
    <row r="45" spans="2:15">
      <c r="B45" s="139" t="s">
        <v>401</v>
      </c>
      <c r="C45" s="139"/>
      <c r="D45" s="139"/>
      <c r="E45" s="140">
        <v>15.5</v>
      </c>
      <c r="F45" s="130"/>
      <c r="G45" s="130" t="s">
        <v>112</v>
      </c>
      <c r="H45" s="130"/>
      <c r="I45" s="130"/>
      <c r="J45" s="302">
        <v>0</v>
      </c>
      <c r="K45" s="130"/>
      <c r="L45" s="141" t="s">
        <v>382</v>
      </c>
      <c r="M45" s="130"/>
      <c r="N45" s="130"/>
      <c r="O45" s="142">
        <f>IF(ISERROR(((E46*O42)-O41))/(E46+O41),"- %",((E46*O42)-O41))/(E46+O41)</f>
        <v>4.1223449600563213E-2</v>
      </c>
    </row>
    <row r="46" spans="2:15">
      <c r="B46" s="328" t="str">
        <f>"Terminal Value in "&amp;YEAR(N10)&amp;"E"</f>
        <v>Terminal Value in 2028E</v>
      </c>
      <c r="C46" s="143"/>
      <c r="D46" s="143"/>
      <c r="E46" s="265">
        <f>E44*E45</f>
        <v>41256.76014718126</v>
      </c>
      <c r="F46" s="130"/>
      <c r="G46" s="130" t="s">
        <v>37</v>
      </c>
      <c r="H46" s="130"/>
      <c r="I46" s="130"/>
      <c r="J46" s="303">
        <f>Data!H32</f>
        <v>375</v>
      </c>
      <c r="K46" s="130"/>
      <c r="L46" s="130"/>
      <c r="M46" s="130"/>
      <c r="N46" s="130"/>
      <c r="O46" s="130"/>
    </row>
    <row r="47" spans="2:15">
      <c r="B47" s="139" t="s">
        <v>31</v>
      </c>
      <c r="C47" s="139"/>
      <c r="D47" s="139"/>
      <c r="E47" s="144">
        <f>N36</f>
        <v>0.63016962688310452</v>
      </c>
      <c r="F47" s="130"/>
      <c r="G47" s="332" t="s">
        <v>255</v>
      </c>
      <c r="H47" s="130"/>
      <c r="I47" s="130"/>
      <c r="J47" s="266">
        <f>+J41+SUM(J42:J46)</f>
        <v>28762.714771238607</v>
      </c>
      <c r="K47" s="130"/>
      <c r="L47" s="128" t="s">
        <v>38</v>
      </c>
      <c r="M47" s="129"/>
      <c r="N47" s="129"/>
      <c r="O47" s="131"/>
    </row>
    <row r="48" spans="2:15">
      <c r="B48" s="328" t="s">
        <v>384</v>
      </c>
      <c r="C48" s="143"/>
      <c r="D48" s="143"/>
      <c r="E48" s="261">
        <f>E46*E47</f>
        <v>25998.757148354951</v>
      </c>
      <c r="F48" s="130"/>
      <c r="G48" s="130" t="s">
        <v>390</v>
      </c>
      <c r="J48" s="333">
        <f>IF(C5="Yes",(1+C34)^0.5,1)</f>
        <v>1.0392304845413265</v>
      </c>
      <c r="K48" s="130"/>
      <c r="L48" s="145" t="str">
        <f>+G41</f>
        <v>Enterprise Value</v>
      </c>
      <c r="M48" s="130"/>
      <c r="N48" s="130"/>
      <c r="O48" s="264">
        <f>E50</f>
        <v>32094.714771238607</v>
      </c>
    </row>
    <row r="49" spans="2:15">
      <c r="B49" s="329" t="s">
        <v>385</v>
      </c>
      <c r="C49" s="139"/>
      <c r="D49" s="139"/>
      <c r="E49" s="146">
        <f>IF(ISERROR(E48/E50),"- %",E48/E50)</f>
        <v>0.81006350527388093</v>
      </c>
      <c r="F49" s="130"/>
      <c r="G49" s="130" t="s">
        <v>391</v>
      </c>
      <c r="J49" s="333">
        <f>IF(AND(C3&gt;H10,C6="Yes"),(1+C34)^(_xlfn.DAYS(C3,H10)/365),1)</f>
        <v>1.0191578969419475</v>
      </c>
      <c r="K49" s="130"/>
      <c r="L49" s="130" t="str">
        <f>"Fiscal "&amp;YEAR(C4)&amp;" EBITDA"</f>
        <v>Fiscal 2022 EBITDA</v>
      </c>
      <c r="M49" s="130"/>
      <c r="N49" s="130"/>
      <c r="O49" s="268">
        <f>H17</f>
        <v>2129</v>
      </c>
    </row>
    <row r="50" spans="2:15">
      <c r="B50" s="330" t="s">
        <v>32</v>
      </c>
      <c r="C50" s="148"/>
      <c r="D50" s="148"/>
      <c r="E50" s="266">
        <f>+E48+E41</f>
        <v>32094.714771238607</v>
      </c>
      <c r="F50" s="130"/>
      <c r="G50" s="332" t="s">
        <v>392</v>
      </c>
      <c r="H50" s="130"/>
      <c r="I50" s="130"/>
      <c r="J50" s="266">
        <f>J47*J48*J49</f>
        <v>30463.740430302401</v>
      </c>
      <c r="K50" s="130"/>
      <c r="L50" s="141" t="str">
        <f>"Implied "&amp;YEAR(C4)&amp;" EV/EBITDA"</f>
        <v>Implied 2022 EV/EBITDA</v>
      </c>
      <c r="M50" s="130"/>
      <c r="N50" s="130"/>
      <c r="O50" s="150">
        <f>IF(ISERROR(O48/O49),"- x",O48/O49)</f>
        <v>15.075018680713296</v>
      </c>
    </row>
    <row r="51" spans="2:15">
      <c r="B51" s="330" t="s">
        <v>393</v>
      </c>
      <c r="C51" s="148"/>
      <c r="D51" s="148"/>
      <c r="E51" s="266">
        <f>E50*J48*J49</f>
        <v>33992.794760572651</v>
      </c>
      <c r="F51" s="8"/>
      <c r="G51" s="130" t="s">
        <v>39</v>
      </c>
      <c r="H51" s="130"/>
      <c r="I51" s="130"/>
      <c r="J51" s="147">
        <f>F177</f>
        <v>342</v>
      </c>
      <c r="K51" s="8"/>
      <c r="L51" s="10"/>
      <c r="M51" s="8"/>
      <c r="N51" s="8"/>
      <c r="O51" s="32"/>
    </row>
    <row r="52" spans="2:15">
      <c r="B52" s="330"/>
      <c r="C52" s="148"/>
      <c r="D52" s="148"/>
      <c r="E52" s="261"/>
      <c r="F52" s="8"/>
      <c r="G52" s="332" t="s">
        <v>389</v>
      </c>
      <c r="H52" s="130"/>
      <c r="I52" s="130"/>
      <c r="J52" s="149">
        <f>IF(ISERROR(J50/J51),"NA",J50/J51)</f>
        <v>89.075264416088899</v>
      </c>
      <c r="K52" s="8"/>
      <c r="L52" s="10"/>
      <c r="M52" s="8"/>
      <c r="N52" s="8"/>
      <c r="O52" s="32"/>
    </row>
    <row r="53" spans="2:15">
      <c r="B53" s="8"/>
      <c r="C53" s="8"/>
      <c r="D53" s="8"/>
      <c r="E53" s="8"/>
      <c r="F53" s="283"/>
      <c r="K53" s="8"/>
      <c r="L53" s="283"/>
      <c r="M53" s="8"/>
      <c r="N53" s="8"/>
      <c r="O53" s="8"/>
    </row>
    <row r="54" spans="2:15" ht="21">
      <c r="B54" s="31" t="str">
        <f>""&amp;Data!C3&amp;" - Discounted Cash Flow Valuation (continued)"</f>
        <v>Serial Co. - Discounted Cash Flow Valuation (continued)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4.5" customHeight="1">
      <c r="B55" s="30"/>
    </row>
    <row r="56" spans="2:15" ht="18" customHeight="1">
      <c r="B56" s="23" t="s">
        <v>106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2:15"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2:15">
      <c r="B58" s="130"/>
      <c r="C58" s="151" t="s">
        <v>32</v>
      </c>
      <c r="D58" s="152"/>
      <c r="E58" s="152"/>
      <c r="F58" s="152"/>
      <c r="G58" s="152"/>
      <c r="H58" s="153"/>
      <c r="I58" s="130"/>
      <c r="J58" s="151" t="s">
        <v>255</v>
      </c>
      <c r="K58" s="152"/>
      <c r="L58" s="152"/>
      <c r="M58" s="152"/>
      <c r="N58" s="152"/>
      <c r="O58" s="153"/>
    </row>
    <row r="59" spans="2:15">
      <c r="B59" s="135"/>
      <c r="C59" s="130"/>
      <c r="D59" s="154" t="s">
        <v>399</v>
      </c>
      <c r="E59" s="154"/>
      <c r="F59" s="154"/>
      <c r="G59" s="154"/>
      <c r="H59" s="154"/>
      <c r="I59" s="130"/>
      <c r="J59" s="130"/>
      <c r="K59" s="154" t="s">
        <v>399</v>
      </c>
      <c r="L59" s="154"/>
      <c r="M59" s="154"/>
      <c r="N59" s="154"/>
      <c r="O59" s="154"/>
    </row>
    <row r="60" spans="2:15">
      <c r="B60" s="135"/>
      <c r="C60" s="155">
        <f>+E51</f>
        <v>33992.794760572651</v>
      </c>
      <c r="D60" s="156">
        <f>+E60-0.5</f>
        <v>14.5</v>
      </c>
      <c r="E60" s="156">
        <f>+F60-0.5</f>
        <v>15</v>
      </c>
      <c r="F60" s="157">
        <v>15.5</v>
      </c>
      <c r="G60" s="156">
        <f>+F60+0.5</f>
        <v>16</v>
      </c>
      <c r="H60" s="156">
        <f>+G60+0.5</f>
        <v>16.5</v>
      </c>
      <c r="I60" s="158"/>
      <c r="J60" s="155">
        <f>J50</f>
        <v>30463.740430302401</v>
      </c>
      <c r="K60" s="156">
        <f>+L60-0.5</f>
        <v>14.5</v>
      </c>
      <c r="L60" s="156">
        <f>+M60-0.5</f>
        <v>15</v>
      </c>
      <c r="M60" s="156">
        <f>F60</f>
        <v>15.5</v>
      </c>
      <c r="N60" s="156">
        <f>+M60+0.5</f>
        <v>16</v>
      </c>
      <c r="O60" s="156">
        <f>+N60+0.5</f>
        <v>16.5</v>
      </c>
    </row>
    <row r="61" spans="2:15">
      <c r="B61" s="337" t="s">
        <v>34</v>
      </c>
      <c r="C61" s="159">
        <f>+C62-0.005</f>
        <v>6.9999999999999993E-2</v>
      </c>
      <c r="D61" s="160">
        <f t="dataTable" ref="D61:H65" dt2D="1" dtr="1" r1="E45" r2="C34" ca="1"/>
        <v>33666.511010709793</v>
      </c>
      <c r="E61" s="161">
        <v>34599.266823548765</v>
      </c>
      <c r="F61" s="161">
        <v>35532.022636387737</v>
      </c>
      <c r="G61" s="161">
        <v>36464.778449226709</v>
      </c>
      <c r="H61" s="161">
        <v>37397.534262065674</v>
      </c>
      <c r="I61" s="337" t="s">
        <v>34</v>
      </c>
      <c r="J61" s="159">
        <f>+J62-0.005</f>
        <v>6.9999999999999993E-2</v>
      </c>
      <c r="K61" s="160">
        <f t="dataTable" ref="K61:O65" dt2D="1" dtr="1" r1="E45" r2="C34"/>
        <v>30161.880830129845</v>
      </c>
      <c r="L61" s="161">
        <v>31094.63664296881</v>
      </c>
      <c r="M61" s="161">
        <v>32027.392455807785</v>
      </c>
      <c r="N61" s="161">
        <v>32960.14826864675</v>
      </c>
      <c r="O61" s="161">
        <v>33892.904081485722</v>
      </c>
    </row>
    <row r="62" spans="2:15">
      <c r="B62" s="337"/>
      <c r="C62" s="159">
        <f>+C63-0.005</f>
        <v>7.4999999999999997E-2</v>
      </c>
      <c r="D62" s="160">
        <v>32931.116173219081</v>
      </c>
      <c r="E62" s="162">
        <v>33841.304844787657</v>
      </c>
      <c r="F62" s="162">
        <v>34751.493516356226</v>
      </c>
      <c r="G62" s="162">
        <v>35661.682187924795</v>
      </c>
      <c r="H62" s="161">
        <v>36571.870859493363</v>
      </c>
      <c r="I62" s="337"/>
      <c r="J62" s="159">
        <f>+J63-0.005</f>
        <v>7.4999999999999997E-2</v>
      </c>
      <c r="K62" s="160">
        <v>29414.26672046119</v>
      </c>
      <c r="L62" s="162">
        <v>30324.455392029762</v>
      </c>
      <c r="M62" s="162">
        <v>31234.644063598334</v>
      </c>
      <c r="N62" s="162">
        <v>32144.832735166903</v>
      </c>
      <c r="O62" s="161">
        <v>33055.021406735468</v>
      </c>
    </row>
    <row r="63" spans="2:15">
      <c r="B63" s="337"/>
      <c r="C63" s="163">
        <v>0.08</v>
      </c>
      <c r="D63" s="160">
        <v>32216.257826520708</v>
      </c>
      <c r="E63" s="162">
        <v>33104.526293546682</v>
      </c>
      <c r="F63" s="164">
        <v>33992.794760572651</v>
      </c>
      <c r="G63" s="162">
        <v>34881.063227598621</v>
      </c>
      <c r="H63" s="161">
        <v>35769.331694624598</v>
      </c>
      <c r="I63" s="337"/>
      <c r="J63" s="159">
        <f>C63</f>
        <v>0.08</v>
      </c>
      <c r="K63" s="160">
        <v>28687.203496250459</v>
      </c>
      <c r="L63" s="162">
        <v>29575.471963276432</v>
      </c>
      <c r="M63" s="164">
        <v>30463.740430302401</v>
      </c>
      <c r="N63" s="162">
        <v>31352.008897328375</v>
      </c>
      <c r="O63" s="161">
        <v>32240.277364354348</v>
      </c>
    </row>
    <row r="64" spans="2:15">
      <c r="B64" s="337"/>
      <c r="C64" s="159">
        <f>+C63+0.005</f>
        <v>8.5000000000000006E-2</v>
      </c>
      <c r="D64" s="160">
        <v>31521.265008774106</v>
      </c>
      <c r="E64" s="162">
        <v>32388.238794730496</v>
      </c>
      <c r="F64" s="162">
        <v>33255.212580686886</v>
      </c>
      <c r="G64" s="162">
        <v>34122.186366643276</v>
      </c>
      <c r="H64" s="161">
        <v>34989.160152599659</v>
      </c>
      <c r="I64" s="337"/>
      <c r="J64" s="159">
        <f>+J63+0.005</f>
        <v>8.5000000000000006E-2</v>
      </c>
      <c r="K64" s="160">
        <v>27980.020112174778</v>
      </c>
      <c r="L64" s="162">
        <v>28846.993898131168</v>
      </c>
      <c r="M64" s="162">
        <v>29713.967684087558</v>
      </c>
      <c r="N64" s="162">
        <v>30580.941470043948</v>
      </c>
      <c r="O64" s="161">
        <v>31447.915256000339</v>
      </c>
    </row>
    <row r="65" spans="2:15">
      <c r="B65" s="337"/>
      <c r="C65" s="159">
        <f>+C64+0.005</f>
        <v>9.0000000000000011E-2</v>
      </c>
      <c r="D65" s="160">
        <v>30845.491717351793</v>
      </c>
      <c r="E65" s="161">
        <v>31691.775735269413</v>
      </c>
      <c r="F65" s="161">
        <v>32538.059753187044</v>
      </c>
      <c r="G65" s="161">
        <v>33384.343771104672</v>
      </c>
      <c r="H65" s="161">
        <v>34230.627789022285</v>
      </c>
      <c r="I65" s="337"/>
      <c r="J65" s="159">
        <f>+J64+0.005</f>
        <v>9.0000000000000011E-2</v>
      </c>
      <c r="K65" s="160">
        <v>27292.070482990781</v>
      </c>
      <c r="L65" s="161">
        <v>28138.354500908401</v>
      </c>
      <c r="M65" s="161">
        <v>28984.638518826028</v>
      </c>
      <c r="N65" s="161">
        <v>29830.922536743656</v>
      </c>
      <c r="O65" s="161">
        <v>30677.206554661276</v>
      </c>
    </row>
    <row r="66" spans="2:15"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</row>
    <row r="67" spans="2:15"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</row>
    <row r="68" spans="2:15">
      <c r="B68" s="130"/>
      <c r="C68" s="151" t="s">
        <v>400</v>
      </c>
      <c r="D68" s="152"/>
      <c r="E68" s="152"/>
      <c r="F68" s="152"/>
      <c r="G68" s="152"/>
      <c r="H68" s="153"/>
      <c r="I68" s="166"/>
      <c r="J68" s="151" t="s">
        <v>107</v>
      </c>
      <c r="K68" s="152"/>
      <c r="L68" s="152"/>
      <c r="M68" s="152"/>
      <c r="N68" s="152"/>
      <c r="O68" s="153"/>
    </row>
    <row r="69" spans="2:15">
      <c r="B69" s="135"/>
      <c r="C69" s="130"/>
      <c r="D69" s="154" t="s">
        <v>399</v>
      </c>
      <c r="E69" s="154"/>
      <c r="F69" s="154"/>
      <c r="G69" s="154"/>
      <c r="H69" s="154"/>
      <c r="I69" s="135"/>
      <c r="J69" s="130"/>
      <c r="K69" s="154" t="s">
        <v>399</v>
      </c>
      <c r="L69" s="154"/>
      <c r="M69" s="154"/>
      <c r="N69" s="154"/>
      <c r="O69" s="154"/>
    </row>
    <row r="70" spans="2:15">
      <c r="B70" s="135"/>
      <c r="C70" s="155">
        <f>E49</f>
        <v>0.81006350527388093</v>
      </c>
      <c r="D70" s="156">
        <f>+E70-0.5</f>
        <v>14.5</v>
      </c>
      <c r="E70" s="156">
        <f>+F70-0.5</f>
        <v>15</v>
      </c>
      <c r="F70" s="156">
        <f>F60</f>
        <v>15.5</v>
      </c>
      <c r="G70" s="156">
        <f>+F70+0.5</f>
        <v>16</v>
      </c>
      <c r="H70" s="156">
        <f>+G70+0.5</f>
        <v>16.5</v>
      </c>
      <c r="I70" s="138"/>
      <c r="J70" s="155">
        <f>J52</f>
        <v>89.075264416088899</v>
      </c>
      <c r="K70" s="156">
        <f>+L70-0.5</f>
        <v>14.5</v>
      </c>
      <c r="L70" s="156">
        <f>+M70-0.5</f>
        <v>15</v>
      </c>
      <c r="M70" s="156">
        <f>F60</f>
        <v>15.5</v>
      </c>
      <c r="N70" s="156">
        <f>+M70+0.5</f>
        <v>16</v>
      </c>
      <c r="O70" s="156">
        <f>+N70+0.5</f>
        <v>16.5</v>
      </c>
    </row>
    <row r="71" spans="2:15">
      <c r="B71" s="337" t="s">
        <v>34</v>
      </c>
      <c r="C71" s="159">
        <f>+C72-0.005</f>
        <v>6.9999999999999993E-2</v>
      </c>
      <c r="D71" s="167">
        <f t="dataTable" ref="D71:H75" dt2D="1" dtr="1" r1="E45" r2="C34" ca="1"/>
        <v>0.80346664267423429</v>
      </c>
      <c r="E71" s="168">
        <v>0.80876495238690138</v>
      </c>
      <c r="F71" s="168">
        <v>0.8137850888453585</v>
      </c>
      <c r="G71" s="168">
        <v>0.81854839876258811</v>
      </c>
      <c r="H71" s="168">
        <v>0.82307409916350516</v>
      </c>
      <c r="I71" s="337" t="s">
        <v>34</v>
      </c>
      <c r="J71" s="159">
        <f>+J72-0.005</f>
        <v>6.9999999999999993E-2</v>
      </c>
      <c r="K71" s="169">
        <f t="dataTable" ref="K71:O75" dt2D="1" dtr="1" r1="E45" r2="C34" ca="1"/>
        <v>88.192634006227621</v>
      </c>
      <c r="L71" s="170">
        <v>90.919990184119328</v>
      </c>
      <c r="M71" s="170">
        <v>93.647346362011064</v>
      </c>
      <c r="N71" s="170">
        <v>96.374702539902771</v>
      </c>
      <c r="O71" s="170">
        <v>99.102058717794506</v>
      </c>
    </row>
    <row r="72" spans="2:15">
      <c r="B72" s="337"/>
      <c r="C72" s="159">
        <f>+C73-0.005</f>
        <v>7.4999999999999997E-2</v>
      </c>
      <c r="D72" s="171">
        <v>0.80153588893395666</v>
      </c>
      <c r="E72" s="172">
        <v>0.80687373824070596</v>
      </c>
      <c r="F72" s="172">
        <v>0.81193197654499527</v>
      </c>
      <c r="G72" s="172">
        <v>0.81673201327716605</v>
      </c>
      <c r="H72" s="173">
        <v>0.82129312654416764</v>
      </c>
      <c r="I72" s="337"/>
      <c r="J72" s="159">
        <f>+J73-0.005</f>
        <v>7.4999999999999997E-2</v>
      </c>
      <c r="K72" s="169">
        <v>86.006627837605819</v>
      </c>
      <c r="L72" s="174">
        <v>88.667998222309251</v>
      </c>
      <c r="M72" s="174">
        <v>91.329368607012668</v>
      </c>
      <c r="N72" s="174">
        <v>93.990738991716086</v>
      </c>
      <c r="O72" s="170">
        <v>96.652109376419503</v>
      </c>
    </row>
    <row r="73" spans="2:15">
      <c r="B73" s="337"/>
      <c r="C73" s="159">
        <f>C63</f>
        <v>0.08</v>
      </c>
      <c r="D73" s="171">
        <v>0.79958962591078697</v>
      </c>
      <c r="E73" s="172">
        <v>0.80496708439455411</v>
      </c>
      <c r="F73" s="175">
        <v>0.81006350527388093</v>
      </c>
      <c r="G73" s="172">
        <v>0.81490035895296165</v>
      </c>
      <c r="H73" s="173">
        <v>0.81949698311702501</v>
      </c>
      <c r="I73" s="337"/>
      <c r="J73" s="159">
        <f>C63</f>
        <v>0.08</v>
      </c>
      <c r="K73" s="169">
        <v>83.880711977340525</v>
      </c>
      <c r="L73" s="174">
        <v>86.477988196714719</v>
      </c>
      <c r="M73" s="176">
        <v>89.075264416088899</v>
      </c>
      <c r="N73" s="174">
        <v>91.672540635463079</v>
      </c>
      <c r="O73" s="170">
        <v>94.269816854837273</v>
      </c>
    </row>
    <row r="74" spans="2:15">
      <c r="B74" s="337"/>
      <c r="C74" s="159">
        <f>+C73+0.005</f>
        <v>8.5000000000000006E-2</v>
      </c>
      <c r="D74" s="171">
        <v>0.79762788028135367</v>
      </c>
      <c r="E74" s="172">
        <v>0.80304501098476944</v>
      </c>
      <c r="F74" s="172">
        <v>0.80817968910704063</v>
      </c>
      <c r="G74" s="172">
        <v>0.81305344424603654</v>
      </c>
      <c r="H74" s="173">
        <v>0.81768567212766163</v>
      </c>
      <c r="I74" s="337"/>
      <c r="J74" s="159">
        <f>+J73+0.005</f>
        <v>8.5000000000000006E-2</v>
      </c>
      <c r="K74" s="169">
        <v>81.812924304604607</v>
      </c>
      <c r="L74" s="174">
        <v>84.347935374652536</v>
      </c>
      <c r="M74" s="174">
        <v>86.882946444700465</v>
      </c>
      <c r="N74" s="174">
        <v>89.41795751474838</v>
      </c>
      <c r="O74" s="170">
        <v>91.952968584796309</v>
      </c>
    </row>
    <row r="75" spans="2:15">
      <c r="B75" s="337"/>
      <c r="C75" s="159">
        <f>+C74+0.005</f>
        <v>9.0000000000000011E-2</v>
      </c>
      <c r="D75" s="171">
        <v>0.7956506819375857</v>
      </c>
      <c r="E75" s="177">
        <v>0.80110754126264172</v>
      </c>
      <c r="F75" s="177">
        <v>0.80628054513535352</v>
      </c>
      <c r="G75" s="177">
        <v>0.81119128053083434</v>
      </c>
      <c r="H75" s="173">
        <v>0.81585919964453213</v>
      </c>
      <c r="I75" s="337"/>
      <c r="J75" s="159">
        <f>+J74+0.005</f>
        <v>9.0000000000000011E-2</v>
      </c>
      <c r="K75" s="169">
        <v>79.8013756812596</v>
      </c>
      <c r="L75" s="170">
        <v>82.275890353533342</v>
      </c>
      <c r="M75" s="170">
        <v>84.750405025807098</v>
      </c>
      <c r="N75" s="170">
        <v>87.224919698080868</v>
      </c>
      <c r="O75" s="170">
        <v>89.699434370354609</v>
      </c>
    </row>
    <row r="76" spans="2:15"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</row>
    <row r="77" spans="2:15"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</row>
    <row r="78" spans="2:15">
      <c r="B78" s="139"/>
      <c r="C78" s="151" t="s">
        <v>382</v>
      </c>
      <c r="D78" s="152"/>
      <c r="E78" s="152"/>
      <c r="F78" s="152"/>
      <c r="G78" s="152"/>
      <c r="H78" s="153"/>
      <c r="I78" s="135"/>
      <c r="J78" s="151" t="str">
        <f>"Implied "&amp;YEAR(C4)&amp;" EV/EBITDA"</f>
        <v>Implied 2022 EV/EBITDA</v>
      </c>
      <c r="K78" s="152"/>
      <c r="L78" s="152"/>
      <c r="M78" s="152"/>
      <c r="N78" s="152"/>
      <c r="O78" s="153"/>
    </row>
    <row r="79" spans="2:15">
      <c r="B79" s="138"/>
      <c r="C79" s="130"/>
      <c r="D79" s="154" t="s">
        <v>399</v>
      </c>
      <c r="E79" s="154"/>
      <c r="F79" s="154"/>
      <c r="G79" s="154"/>
      <c r="H79" s="154"/>
      <c r="I79" s="135"/>
      <c r="J79" s="130"/>
      <c r="K79" s="154" t="s">
        <v>399</v>
      </c>
      <c r="L79" s="154"/>
      <c r="M79" s="154"/>
      <c r="N79" s="154"/>
      <c r="O79" s="154"/>
    </row>
    <row r="80" spans="2:15">
      <c r="B80" s="138"/>
      <c r="C80" s="178">
        <f>O45</f>
        <v>4.1223449600563213E-2</v>
      </c>
      <c r="D80" s="156">
        <f>+E80-0.5</f>
        <v>14.5</v>
      </c>
      <c r="E80" s="156">
        <f>+F80-0.5</f>
        <v>15</v>
      </c>
      <c r="F80" s="156">
        <f>F60</f>
        <v>15.5</v>
      </c>
      <c r="G80" s="156">
        <f>+F80+0.5</f>
        <v>16</v>
      </c>
      <c r="H80" s="156">
        <f>+G80+0.5</f>
        <v>16.5</v>
      </c>
      <c r="I80" s="135"/>
      <c r="J80" s="178">
        <f>O50</f>
        <v>15.075018680713296</v>
      </c>
      <c r="K80" s="156">
        <f>+L80-0.5</f>
        <v>14.5</v>
      </c>
      <c r="L80" s="156">
        <f>+M80-0.5</f>
        <v>15</v>
      </c>
      <c r="M80" s="156">
        <f>F60</f>
        <v>15.5</v>
      </c>
      <c r="N80" s="156">
        <f>+M80+0.5</f>
        <v>16</v>
      </c>
      <c r="O80" s="156">
        <f>+N80+0.5</f>
        <v>16.5</v>
      </c>
    </row>
    <row r="81" spans="2:15">
      <c r="B81" s="337" t="s">
        <v>34</v>
      </c>
      <c r="C81" s="159">
        <f>+C82-0.005</f>
        <v>6.9999999999999993E-2</v>
      </c>
      <c r="D81" s="167">
        <f t="dataTable" ref="D81:H85" dt2D="1" dtr="1" r1="E45" r2="C34" ca="1"/>
        <v>2.9034445371585588E-2</v>
      </c>
      <c r="E81" s="168">
        <v>3.0349362290191535E-2</v>
      </c>
      <c r="F81" s="168">
        <v>3.158249173389132E-2</v>
      </c>
      <c r="G81" s="168">
        <v>3.2741234283682343E-2</v>
      </c>
      <c r="H81" s="168">
        <v>3.3832123801970107E-2</v>
      </c>
      <c r="I81" s="337" t="s">
        <v>34</v>
      </c>
      <c r="J81" s="159">
        <f>+J82-0.005</f>
        <v>6.9999999999999993E-2</v>
      </c>
      <c r="K81" s="179">
        <f t="dataTable" ref="K81:O85" dt2D="1" dtr="1" r1="E45" r2="C34" ca="1"/>
        <v>15.0343704031814</v>
      </c>
      <c r="L81" s="180">
        <v>15.450908855338813</v>
      </c>
      <c r="M81" s="180">
        <v>15.86744730749623</v>
      </c>
      <c r="N81" s="180">
        <v>16.283985759653643</v>
      </c>
      <c r="O81" s="180">
        <v>16.700524211811057</v>
      </c>
    </row>
    <row r="82" spans="2:15">
      <c r="B82" s="337"/>
      <c r="C82" s="159">
        <f>+C83-0.005</f>
        <v>7.4999999999999997E-2</v>
      </c>
      <c r="D82" s="171">
        <v>3.384301754621917E-2</v>
      </c>
      <c r="E82" s="172">
        <v>3.5164078936407391E-2</v>
      </c>
      <c r="F82" s="172">
        <v>3.6402970667227273E-2</v>
      </c>
      <c r="G82" s="172">
        <v>3.7567127901830394E-2</v>
      </c>
      <c r="H82" s="173">
        <v>3.8663115034689589E-2</v>
      </c>
      <c r="I82" s="337"/>
      <c r="J82" s="159">
        <f>+J83-0.005</f>
        <v>7.4999999999999997E-2</v>
      </c>
      <c r="K82" s="181">
        <v>14.654871159427255</v>
      </c>
      <c r="L82" s="182">
        <v>15.059919613978433</v>
      </c>
      <c r="M82" s="182">
        <v>15.464968068529611</v>
      </c>
      <c r="N82" s="182">
        <v>15.870016523080787</v>
      </c>
      <c r="O82" s="183">
        <v>16.275064977631963</v>
      </c>
    </row>
    <row r="83" spans="2:15">
      <c r="B83" s="337"/>
      <c r="C83" s="159">
        <f>C63</f>
        <v>0.08</v>
      </c>
      <c r="D83" s="171">
        <v>3.8651589720852753E-2</v>
      </c>
      <c r="E83" s="172">
        <v>3.9978795582623239E-2</v>
      </c>
      <c r="F83" s="175">
        <v>4.1223449600563213E-2</v>
      </c>
      <c r="G83" s="172">
        <v>4.2393021519978452E-2</v>
      </c>
      <c r="H83" s="173">
        <v>4.3494106267409086E-2</v>
      </c>
      <c r="I83" s="337"/>
      <c r="J83" s="159">
        <f>C63</f>
        <v>0.08</v>
      </c>
      <c r="K83" s="181">
        <v>14.28716561783795</v>
      </c>
      <c r="L83" s="182">
        <v>14.681092149275623</v>
      </c>
      <c r="M83" s="184">
        <v>15.075018680713296</v>
      </c>
      <c r="N83" s="182">
        <v>15.468945212150969</v>
      </c>
      <c r="O83" s="183">
        <v>15.862871743588641</v>
      </c>
    </row>
    <row r="84" spans="2:15">
      <c r="B84" s="337"/>
      <c r="C84" s="159">
        <f>+C83+0.005</f>
        <v>8.5000000000000006E-2</v>
      </c>
      <c r="D84" s="171">
        <v>4.3460161895486335E-2</v>
      </c>
      <c r="E84" s="172">
        <v>4.4793512228839094E-2</v>
      </c>
      <c r="F84" s="172">
        <v>4.6043928533899159E-2</v>
      </c>
      <c r="G84" s="172">
        <v>4.7218915138126503E-2</v>
      </c>
      <c r="H84" s="173">
        <v>4.8325097500128575E-2</v>
      </c>
      <c r="I84" s="337"/>
      <c r="J84" s="159">
        <f>+J83+0.005</f>
        <v>8.5000000000000006E-2</v>
      </c>
      <c r="K84" s="181">
        <v>13.930830493482343</v>
      </c>
      <c r="L84" s="182">
        <v>14.313989762347004</v>
      </c>
      <c r="M84" s="182">
        <v>14.697149031211666</v>
      </c>
      <c r="N84" s="182">
        <v>15.080308300076327</v>
      </c>
      <c r="O84" s="183">
        <v>15.463467568940986</v>
      </c>
    </row>
    <row r="85" spans="2:15">
      <c r="B85" s="337"/>
      <c r="C85" s="159">
        <f>+C84+0.005</f>
        <v>9.0000000000000011E-2</v>
      </c>
      <c r="D85" s="171">
        <v>4.8268734070119924E-2</v>
      </c>
      <c r="E85" s="177">
        <v>4.9608228875054942E-2</v>
      </c>
      <c r="F85" s="177">
        <v>5.0864407467235105E-2</v>
      </c>
      <c r="G85" s="177">
        <v>5.2044808756274555E-2</v>
      </c>
      <c r="H85" s="173">
        <v>5.3156088732848064E-2</v>
      </c>
      <c r="I85" s="337"/>
      <c r="J85" s="159">
        <f>+J84+0.005</f>
        <v>9.0000000000000011E-2</v>
      </c>
      <c r="K85" s="181">
        <v>13.585459618465366</v>
      </c>
      <c r="L85" s="183">
        <v>13.958193418805623</v>
      </c>
      <c r="M85" s="183">
        <v>14.330927219145883</v>
      </c>
      <c r="N85" s="183">
        <v>14.703661019486143</v>
      </c>
      <c r="O85" s="183">
        <v>15.076394819826399</v>
      </c>
    </row>
    <row r="86" spans="2:15">
      <c r="B86" s="24"/>
      <c r="C86" s="25"/>
      <c r="D86" s="12"/>
      <c r="E86" s="12"/>
      <c r="F86" s="12"/>
      <c r="G86" s="12"/>
      <c r="H86" s="12"/>
      <c r="I86" s="9"/>
      <c r="J86" s="9"/>
      <c r="K86" s="9"/>
      <c r="L86" s="9"/>
      <c r="M86" s="9"/>
      <c r="N86" s="9"/>
      <c r="O86" s="9"/>
    </row>
    <row r="87" spans="2:1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8"/>
    </row>
    <row r="88" spans="2:15" ht="21">
      <c r="B88" s="31" t="str">
        <f>""&amp;Data!C3&amp;" - Discounted Cash Flow Valuation (continued)"</f>
        <v>Serial Co. - Discounted Cash Flow Valuation (continued)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2:15" ht="19">
      <c r="B90" s="23" t="s">
        <v>24</v>
      </c>
      <c r="M90" s="327" t="s">
        <v>396</v>
      </c>
      <c r="N90" s="327"/>
      <c r="O90" s="2" t="s">
        <v>379</v>
      </c>
    </row>
    <row r="91" spans="2:15">
      <c r="M91" s="327" t="s">
        <v>380</v>
      </c>
      <c r="N91" s="327"/>
      <c r="O91" s="2" t="s">
        <v>381</v>
      </c>
    </row>
    <row r="92" spans="2:15">
      <c r="B92" s="1"/>
      <c r="C92" s="15">
        <f t="shared" ref="C92:O92" si="43">C10</f>
        <v>43100</v>
      </c>
      <c r="D92" s="15">
        <f t="shared" si="43"/>
        <v>43465</v>
      </c>
      <c r="E92" s="15">
        <f t="shared" si="43"/>
        <v>43830</v>
      </c>
      <c r="F92" s="15">
        <f t="shared" si="43"/>
        <v>44196</v>
      </c>
      <c r="G92" s="15">
        <f t="shared" si="43"/>
        <v>44561</v>
      </c>
      <c r="H92" s="15">
        <f t="shared" si="43"/>
        <v>44926</v>
      </c>
      <c r="I92" s="15">
        <f t="shared" si="43"/>
        <v>45291</v>
      </c>
      <c r="J92" s="15">
        <f t="shared" si="43"/>
        <v>45657</v>
      </c>
      <c r="K92" s="15">
        <f t="shared" si="43"/>
        <v>46022</v>
      </c>
      <c r="L92" s="15">
        <f t="shared" si="43"/>
        <v>46387</v>
      </c>
      <c r="M92" s="15">
        <f t="shared" si="43"/>
        <v>46752</v>
      </c>
      <c r="N92" s="15">
        <f t="shared" si="43"/>
        <v>47118</v>
      </c>
      <c r="O92" s="15">
        <f t="shared" si="43"/>
        <v>47483</v>
      </c>
    </row>
    <row r="93" spans="2:15">
      <c r="B93" t="s">
        <v>46</v>
      </c>
      <c r="C93" s="13"/>
      <c r="D93" s="13">
        <f>IF(ISERROR(D11/C11-1),0,D11/C11-1)</f>
        <v>4.8286001702391168E-2</v>
      </c>
      <c r="E93" s="13">
        <f>IF(ISERROR(E11/D11-1),0,E11/D11-1)</f>
        <v>4.6578578283014593E-2</v>
      </c>
      <c r="F93" s="13">
        <f>IF(ISERROR(F11/E11-1),0,F11/E11-1)</f>
        <v>4.8173226124982316E-2</v>
      </c>
      <c r="G93" s="13">
        <f>IF(ISERROR(G11/F11-1),0,G11/F11-1)</f>
        <v>4.7035865688715539E-2</v>
      </c>
      <c r="H93" s="22">
        <f>IF(ISERROR(H11/G11-1),0,H11/G11-1)</f>
        <v>4.8264781491002662E-2</v>
      </c>
      <c r="I93" s="21">
        <v>4.8264781491002662E-2</v>
      </c>
      <c r="J93" s="21">
        <v>4.7E-2</v>
      </c>
      <c r="K93" s="21">
        <v>4.5999999999999999E-2</v>
      </c>
      <c r="L93" s="21">
        <v>4.4999999999999998E-2</v>
      </c>
      <c r="M93" s="21">
        <v>4.3999999999999997E-2</v>
      </c>
      <c r="N93" s="21">
        <v>4.2000000000000003E-2</v>
      </c>
      <c r="O93" s="21">
        <v>4.2000000000000003E-2</v>
      </c>
    </row>
    <row r="94" spans="2:15">
      <c r="B94" t="s">
        <v>47</v>
      </c>
      <c r="C94" s="13">
        <f t="shared" ref="C94:H94" si="44">0-IF(ISERROR(C13/C11),0,C13/C11)</f>
        <v>0.6113905439913333</v>
      </c>
      <c r="D94" s="13">
        <f t="shared" si="44"/>
        <v>0.65114047390566177</v>
      </c>
      <c r="E94" s="13">
        <f t="shared" si="44"/>
        <v>0.64868105515587526</v>
      </c>
      <c r="F94" s="13">
        <f t="shared" si="44"/>
        <v>0.64887961779153491</v>
      </c>
      <c r="G94" s="13">
        <f t="shared" si="44"/>
        <v>0.65044987146529565</v>
      </c>
      <c r="H94" s="22">
        <f t="shared" si="44"/>
        <v>0.65477285267610819</v>
      </c>
      <c r="I94" s="21">
        <v>0.65477285267610819</v>
      </c>
      <c r="J94" s="21">
        <v>0.65749999999999997</v>
      </c>
      <c r="K94" s="21">
        <v>0.66</v>
      </c>
      <c r="L94" s="21">
        <v>0.66</v>
      </c>
      <c r="M94" s="21">
        <v>0.66</v>
      </c>
      <c r="N94" s="21">
        <v>0.66</v>
      </c>
      <c r="O94" s="21">
        <v>0.66</v>
      </c>
    </row>
    <row r="95" spans="2:15">
      <c r="B95" t="s">
        <v>48</v>
      </c>
      <c r="C95" s="13">
        <f t="shared" ref="C95:H95" si="45">0-IF(ISERROR(C16/C11),0,C16/C11)</f>
        <v>0.20080476669503985</v>
      </c>
      <c r="D95" s="13">
        <f t="shared" si="45"/>
        <v>0.19221967963386727</v>
      </c>
      <c r="E95" s="13">
        <f t="shared" si="45"/>
        <v>0.20426012131471294</v>
      </c>
      <c r="F95" s="13">
        <f t="shared" si="45"/>
        <v>0.20099589529641343</v>
      </c>
      <c r="G95" s="13">
        <f t="shared" si="45"/>
        <v>0.20829048843187661</v>
      </c>
      <c r="H95" s="22">
        <f t="shared" si="45"/>
        <v>0.21470173502544296</v>
      </c>
      <c r="I95" s="21">
        <v>0.21470173502544296</v>
      </c>
      <c r="J95" s="21">
        <v>0.22</v>
      </c>
      <c r="K95" s="21">
        <v>0.22</v>
      </c>
      <c r="L95" s="21">
        <v>0.22</v>
      </c>
      <c r="M95" s="21">
        <v>0.22</v>
      </c>
      <c r="N95" s="21">
        <v>0.22</v>
      </c>
      <c r="O95" s="21">
        <v>0.22</v>
      </c>
    </row>
    <row r="96" spans="2:15">
      <c r="B96" t="s">
        <v>49</v>
      </c>
      <c r="C96" s="13">
        <f t="shared" ref="C96:H96" si="46">0-IF(ISERROR(C20/C11),0,C20/C11)</f>
        <v>3.7220459645593132E-2</v>
      </c>
      <c r="D96" s="13">
        <f t="shared" si="46"/>
        <v>3.8089613936664941E-2</v>
      </c>
      <c r="E96" s="13">
        <f t="shared" si="46"/>
        <v>3.4137395965580478E-2</v>
      </c>
      <c r="F96" s="13">
        <f t="shared" si="46"/>
        <v>3.2232016687975235E-2</v>
      </c>
      <c r="G96" s="13">
        <f t="shared" si="46"/>
        <v>3.0012853470437018E-2</v>
      </c>
      <c r="H96" s="22">
        <f t="shared" si="46"/>
        <v>2.9305376739623568E-2</v>
      </c>
      <c r="I96" s="21">
        <v>2.9305376739623568E-2</v>
      </c>
      <c r="J96" s="21">
        <v>2.9000000000000001E-2</v>
      </c>
      <c r="K96" s="21">
        <v>2.9000000000000001E-2</v>
      </c>
      <c r="L96" s="21">
        <v>2.9000000000000001E-2</v>
      </c>
      <c r="M96" s="21">
        <v>2.9000000000000001E-2</v>
      </c>
      <c r="N96" s="21">
        <v>2.9000000000000001E-2</v>
      </c>
      <c r="O96" s="21">
        <v>2.9000000000000001E-2</v>
      </c>
    </row>
    <row r="97" spans="2:16">
      <c r="B97" t="s">
        <v>50</v>
      </c>
      <c r="C97" s="13">
        <f t="shared" ref="C97:H97" si="47">IF(ISERROR(0-C29/C11),0,0-C29/C11)</f>
        <v>3.8768087905285152E-2</v>
      </c>
      <c r="D97" s="13">
        <f t="shared" si="47"/>
        <v>4.2666272975566549E-2</v>
      </c>
      <c r="E97" s="13">
        <f t="shared" si="47"/>
        <v>4.1331640569897021E-2</v>
      </c>
      <c r="F97" s="13">
        <f t="shared" si="47"/>
        <v>3.3981562478971807E-2</v>
      </c>
      <c r="G97" s="13">
        <f t="shared" si="47"/>
        <v>3.5539845758354754E-2</v>
      </c>
      <c r="H97" s="22">
        <f t="shared" si="47"/>
        <v>2.9918459935013183E-2</v>
      </c>
      <c r="I97" s="21">
        <v>2.9918459935013183E-2</v>
      </c>
      <c r="J97" s="21">
        <f t="shared" ref="J97:O97" si="48">J96+0.001</f>
        <v>3.0000000000000002E-2</v>
      </c>
      <c r="K97" s="21">
        <f t="shared" si="48"/>
        <v>3.0000000000000002E-2</v>
      </c>
      <c r="L97" s="21">
        <f t="shared" si="48"/>
        <v>3.0000000000000002E-2</v>
      </c>
      <c r="M97" s="21">
        <f t="shared" si="48"/>
        <v>3.0000000000000002E-2</v>
      </c>
      <c r="N97" s="21">
        <f t="shared" si="48"/>
        <v>3.0000000000000002E-2</v>
      </c>
      <c r="O97" s="21">
        <f t="shared" si="48"/>
        <v>3.0000000000000002E-2</v>
      </c>
    </row>
    <row r="98" spans="2:16">
      <c r="B98" t="s">
        <v>377</v>
      </c>
      <c r="C98" s="21">
        <v>0.35</v>
      </c>
      <c r="D98" s="21">
        <v>0.21</v>
      </c>
      <c r="E98" s="21">
        <v>0.21</v>
      </c>
      <c r="F98" s="21">
        <v>0.21</v>
      </c>
      <c r="G98" s="21">
        <v>0.21</v>
      </c>
      <c r="H98" s="21">
        <v>0.21</v>
      </c>
      <c r="I98" s="21">
        <v>0.21</v>
      </c>
      <c r="J98" s="21">
        <v>0.21</v>
      </c>
      <c r="K98" s="21">
        <v>0.21</v>
      </c>
      <c r="L98" s="21">
        <v>0.21</v>
      </c>
      <c r="M98" s="21">
        <v>0.21</v>
      </c>
      <c r="N98" s="21">
        <v>0.21</v>
      </c>
      <c r="O98" s="21">
        <v>0.21</v>
      </c>
    </row>
    <row r="100" spans="2:16">
      <c r="B100" s="3" t="s">
        <v>12</v>
      </c>
    </row>
    <row r="101" spans="2:16">
      <c r="B101" t="s">
        <v>25</v>
      </c>
      <c r="C101" s="253">
        <f t="shared" ref="C101:H101" si="49">IF(ISERROR(365/(C11/C111)),0,365/(C11/C111))</f>
        <v>39.231215661997986</v>
      </c>
      <c r="D101" s="253">
        <f t="shared" si="49"/>
        <v>37.04694766368938</v>
      </c>
      <c r="E101" s="253">
        <f t="shared" si="49"/>
        <v>40.572718295951468</v>
      </c>
      <c r="F101" s="253">
        <f t="shared" si="49"/>
        <v>37.750151403001148</v>
      </c>
      <c r="G101" s="253">
        <f t="shared" si="49"/>
        <v>34.928341902313626</v>
      </c>
      <c r="H101" s="253">
        <f t="shared" si="49"/>
        <v>38.847403592667526</v>
      </c>
      <c r="I101" s="252">
        <v>40</v>
      </c>
      <c r="J101" s="252">
        <v>41</v>
      </c>
      <c r="K101" s="252">
        <v>41</v>
      </c>
      <c r="L101" s="252">
        <v>42</v>
      </c>
      <c r="M101" s="252">
        <v>42</v>
      </c>
      <c r="N101" s="252">
        <v>42</v>
      </c>
      <c r="O101" s="252">
        <v>42</v>
      </c>
    </row>
    <row r="102" spans="2:16">
      <c r="B102" t="s">
        <v>26</v>
      </c>
      <c r="C102" s="253">
        <f t="shared" ref="C102:H102" si="50">IF(ISERROR(365/((0-C13)/C112)),0,365/((0-C13)/C112))</f>
        <v>56.22136438425516</v>
      </c>
      <c r="D102" s="253">
        <f t="shared" si="50"/>
        <v>55.03344292030382</v>
      </c>
      <c r="E102" s="253">
        <f t="shared" si="50"/>
        <v>48.656083505490926</v>
      </c>
      <c r="F102" s="253">
        <f t="shared" si="50"/>
        <v>48.714611635383179</v>
      </c>
      <c r="G102" s="253">
        <f t="shared" si="50"/>
        <v>50.416954846359054</v>
      </c>
      <c r="H102" s="253">
        <f t="shared" si="50"/>
        <v>60.423220973782776</v>
      </c>
      <c r="I102" s="252">
        <v>60</v>
      </c>
      <c r="J102" s="252">
        <v>60</v>
      </c>
      <c r="K102" s="252">
        <v>60</v>
      </c>
      <c r="L102" s="252">
        <v>60</v>
      </c>
      <c r="M102" s="252">
        <v>60</v>
      </c>
      <c r="N102" s="252">
        <v>60</v>
      </c>
      <c r="O102" s="252">
        <v>60</v>
      </c>
    </row>
    <row r="103" spans="2:16">
      <c r="B103" t="s">
        <v>27</v>
      </c>
      <c r="C103" s="13">
        <f t="shared" ref="C103:H103" si="51">IF(ISERROR(C113/C11),0,C113/C11)</f>
        <v>1.1529830534705564E-2</v>
      </c>
      <c r="D103" s="13">
        <f t="shared" si="51"/>
        <v>9.6700376467114494E-3</v>
      </c>
      <c r="E103" s="13">
        <f t="shared" si="51"/>
        <v>1.6363379884327831E-2</v>
      </c>
      <c r="F103" s="13">
        <f t="shared" si="51"/>
        <v>1.5207590337124016E-2</v>
      </c>
      <c r="G103" s="13">
        <f t="shared" si="51"/>
        <v>1.4203084832904883E-2</v>
      </c>
      <c r="H103" s="13">
        <f t="shared" si="51"/>
        <v>2.348108638342223E-2</v>
      </c>
      <c r="I103" s="21">
        <v>2.1999999999999999E-2</v>
      </c>
      <c r="J103" s="21">
        <v>2.1999999999999999E-2</v>
      </c>
      <c r="K103" s="21">
        <v>2.1999999999999999E-2</v>
      </c>
      <c r="L103" s="21">
        <v>2.1999999999999999E-2</v>
      </c>
      <c r="M103" s="21">
        <v>2.1999999999999999E-2</v>
      </c>
      <c r="N103" s="21">
        <v>2.1999999999999999E-2</v>
      </c>
      <c r="O103" s="21">
        <v>2.1999999999999999E-2</v>
      </c>
    </row>
    <row r="105" spans="2:16">
      <c r="B105" s="3" t="s">
        <v>15</v>
      </c>
    </row>
    <row r="106" spans="2:16">
      <c r="B106" t="s">
        <v>28</v>
      </c>
      <c r="C106" s="253">
        <f t="shared" ref="C106:H106" si="52">IF(ISERROR(365/((0-C13)/C117)),0,365/((0-C13)/C117))</f>
        <v>58.623591950386022</v>
      </c>
      <c r="D106" s="253">
        <f t="shared" si="52"/>
        <v>59.047160185919964</v>
      </c>
      <c r="E106" s="253">
        <f t="shared" si="52"/>
        <v>62.983037947156681</v>
      </c>
      <c r="F106" s="253">
        <f t="shared" si="52"/>
        <v>59.464378305506585</v>
      </c>
      <c r="G106" s="253">
        <f t="shared" si="52"/>
        <v>56.728090109672962</v>
      </c>
      <c r="H106" s="253">
        <f t="shared" si="52"/>
        <v>67.429307116104866</v>
      </c>
      <c r="I106" s="252">
        <v>67</v>
      </c>
      <c r="J106" s="252">
        <v>66</v>
      </c>
      <c r="K106" s="252">
        <v>66</v>
      </c>
      <c r="L106" s="252">
        <v>66</v>
      </c>
      <c r="M106" s="252">
        <v>66</v>
      </c>
      <c r="N106" s="252">
        <v>66</v>
      </c>
      <c r="O106" s="252">
        <v>66</v>
      </c>
    </row>
    <row r="107" spans="2:16">
      <c r="B107" t="s">
        <v>29</v>
      </c>
      <c r="C107" s="13">
        <f t="shared" ref="C107:H107" si="53">IF(ISERROR(C118/C11),0,C118/C11)</f>
        <v>1.5476282596920219E-2</v>
      </c>
      <c r="D107" s="13">
        <f t="shared" si="53"/>
        <v>1.8454270318151621E-2</v>
      </c>
      <c r="E107" s="13">
        <f t="shared" si="53"/>
        <v>1.7632952461560162E-2</v>
      </c>
      <c r="F107" s="13">
        <f t="shared" si="53"/>
        <v>2.3551577955723033E-2</v>
      </c>
      <c r="G107" s="13">
        <f t="shared" si="53"/>
        <v>2.570694087403599E-2</v>
      </c>
      <c r="H107" s="13">
        <f t="shared" si="53"/>
        <v>2.7588743792532646E-2</v>
      </c>
      <c r="I107" s="21">
        <v>2.7E-2</v>
      </c>
      <c r="J107" s="21">
        <v>2.7E-2</v>
      </c>
      <c r="K107" s="21">
        <v>2.5999999999999999E-2</v>
      </c>
      <c r="L107" s="21">
        <v>2.5999999999999999E-2</v>
      </c>
      <c r="M107" s="21">
        <v>2.5999999999999999E-2</v>
      </c>
      <c r="N107" s="21">
        <v>2.5999999999999999E-2</v>
      </c>
      <c r="O107" s="21">
        <v>2.5999999999999999E-2</v>
      </c>
    </row>
    <row r="108" spans="2:16">
      <c r="B108" t="s">
        <v>30</v>
      </c>
      <c r="C108" s="13">
        <f t="shared" ref="C108:H108" si="54">IF(ISERROR(C119/C11),0,C119/C11)</f>
        <v>7.9780236787123732E-2</v>
      </c>
      <c r="D108" s="13">
        <f t="shared" si="54"/>
        <v>7.4998154572968184E-2</v>
      </c>
      <c r="E108" s="13">
        <f t="shared" si="54"/>
        <v>8.816476230780082E-2</v>
      </c>
      <c r="F108" s="13">
        <f t="shared" si="54"/>
        <v>6.3589260480452187E-2</v>
      </c>
      <c r="G108" s="13">
        <f t="shared" si="54"/>
        <v>4.9035989717223651E-2</v>
      </c>
      <c r="H108" s="13">
        <f t="shared" si="54"/>
        <v>5.9591686591870516E-2</v>
      </c>
      <c r="I108" s="21">
        <v>0.06</v>
      </c>
      <c r="J108" s="21">
        <v>0.06</v>
      </c>
      <c r="K108" s="21">
        <v>0.06</v>
      </c>
      <c r="L108" s="21">
        <v>0.06</v>
      </c>
      <c r="M108" s="21">
        <v>0.06</v>
      </c>
      <c r="N108" s="21">
        <v>0.06</v>
      </c>
      <c r="O108" s="21">
        <v>0.06</v>
      </c>
    </row>
    <row r="110" spans="2:16">
      <c r="B110" s="3" t="s">
        <v>12</v>
      </c>
    </row>
    <row r="111" spans="2:16">
      <c r="B111" t="s">
        <v>13</v>
      </c>
      <c r="C111" s="270">
        <f>Data!C33</f>
        <v>1389</v>
      </c>
      <c r="D111" s="270">
        <f>Data!D33</f>
        <v>1375</v>
      </c>
      <c r="E111" s="270">
        <f>Data!E33</f>
        <v>1576</v>
      </c>
      <c r="F111" s="270">
        <f>Data!F33</f>
        <v>1537</v>
      </c>
      <c r="G111" s="270">
        <f>Data!G33</f>
        <v>1489</v>
      </c>
      <c r="H111" s="270">
        <f>Data!H33</f>
        <v>1736</v>
      </c>
      <c r="I111" s="253">
        <f t="shared" ref="I111:O111" si="55">I101/365*I11</f>
        <v>1873.7804768109308</v>
      </c>
      <c r="J111" s="253">
        <f t="shared" si="55"/>
        <v>2010.8943632015705</v>
      </c>
      <c r="K111" s="253">
        <f t="shared" si="55"/>
        <v>2103.3955039088428</v>
      </c>
      <c r="L111" s="253">
        <f t="shared" si="55"/>
        <v>2251.6592357697341</v>
      </c>
      <c r="M111" s="253">
        <f t="shared" si="55"/>
        <v>2350.7322421436024</v>
      </c>
      <c r="N111" s="253">
        <f t="shared" si="55"/>
        <v>2449.462996313634</v>
      </c>
      <c r="O111" s="253">
        <f t="shared" si="55"/>
        <v>2552.3404421588066</v>
      </c>
      <c r="P111" s="52"/>
    </row>
    <row r="112" spans="2:16">
      <c r="B112" t="s">
        <v>14</v>
      </c>
      <c r="C112" s="270">
        <f>Data!C34</f>
        <v>1217</v>
      </c>
      <c r="D112" s="270">
        <f>Data!D34</f>
        <v>1330</v>
      </c>
      <c r="E112" s="270">
        <f>Data!E34</f>
        <v>1226</v>
      </c>
      <c r="F112" s="270">
        <f>Data!F34</f>
        <v>1287</v>
      </c>
      <c r="G112" s="270">
        <f>Data!G34</f>
        <v>1398</v>
      </c>
      <c r="H112" s="270">
        <f>Data!H34</f>
        <v>1768</v>
      </c>
      <c r="I112" s="273">
        <f t="shared" ref="I112:O112" si="56">I102/365*(0-I13)</f>
        <v>1840.3508821354369</v>
      </c>
      <c r="J112" s="273">
        <f t="shared" si="56"/>
        <v>1934.8727470317549</v>
      </c>
      <c r="K112" s="273">
        <f t="shared" si="56"/>
        <v>2031.5722427997603</v>
      </c>
      <c r="L112" s="273">
        <f t="shared" si="56"/>
        <v>2122.9929937257489</v>
      </c>
      <c r="M112" s="273">
        <f t="shared" si="56"/>
        <v>2216.4046854496823</v>
      </c>
      <c r="N112" s="273">
        <f t="shared" si="56"/>
        <v>2309.4936822385689</v>
      </c>
      <c r="O112" s="273">
        <f t="shared" si="56"/>
        <v>2406.4924168925891</v>
      </c>
      <c r="P112" s="52"/>
    </row>
    <row r="113" spans="2:16">
      <c r="B113" t="s">
        <v>21</v>
      </c>
      <c r="C113" s="271">
        <f>Data!C35</f>
        <v>149</v>
      </c>
      <c r="D113" s="271">
        <f>Data!D35</f>
        <v>131</v>
      </c>
      <c r="E113" s="271">
        <f>Data!E35</f>
        <v>232</v>
      </c>
      <c r="F113" s="271">
        <f>Data!F35</f>
        <v>226</v>
      </c>
      <c r="G113" s="271">
        <f>Data!G35</f>
        <v>221</v>
      </c>
      <c r="H113" s="271">
        <f>Data!H35</f>
        <v>383</v>
      </c>
      <c r="I113" s="256">
        <f t="shared" ref="I113:O113" si="57">I103*I11</f>
        <v>376.16143071979434</v>
      </c>
      <c r="J113" s="256">
        <f t="shared" si="57"/>
        <v>393.84101796362467</v>
      </c>
      <c r="K113" s="256">
        <f t="shared" si="57"/>
        <v>411.95770478995138</v>
      </c>
      <c r="L113" s="256">
        <f t="shared" si="57"/>
        <v>430.49580150549912</v>
      </c>
      <c r="M113" s="256">
        <f t="shared" si="57"/>
        <v>449.43761677174109</v>
      </c>
      <c r="N113" s="256">
        <f t="shared" si="57"/>
        <v>468.31399667615426</v>
      </c>
      <c r="O113" s="256">
        <f t="shared" si="57"/>
        <v>487.98318453655276</v>
      </c>
      <c r="P113" s="52"/>
    </row>
    <row r="114" spans="2:16">
      <c r="B114" s="3" t="s">
        <v>19</v>
      </c>
      <c r="C114" s="257">
        <f>SUM(C111:C113)</f>
        <v>2755</v>
      </c>
      <c r="D114" s="257">
        <f t="shared" ref="D114:M114" si="58">SUM(D111:D113)</f>
        <v>2836</v>
      </c>
      <c r="E114" s="257">
        <f t="shared" si="58"/>
        <v>3034</v>
      </c>
      <c r="F114" s="257">
        <f t="shared" si="58"/>
        <v>3050</v>
      </c>
      <c r="G114" s="257">
        <f t="shared" si="58"/>
        <v>3108</v>
      </c>
      <c r="H114" s="257">
        <f t="shared" si="58"/>
        <v>3887</v>
      </c>
      <c r="I114" s="257">
        <f t="shared" si="58"/>
        <v>4090.2927896661622</v>
      </c>
      <c r="J114" s="257">
        <f t="shared" si="58"/>
        <v>4339.60812819695</v>
      </c>
      <c r="K114" s="257">
        <f t="shared" si="58"/>
        <v>4546.9254514985541</v>
      </c>
      <c r="L114" s="257">
        <f t="shared" si="58"/>
        <v>4805.148031000982</v>
      </c>
      <c r="M114" s="257">
        <f t="shared" si="58"/>
        <v>5016.5745443650258</v>
      </c>
      <c r="N114" s="257">
        <f t="shared" ref="N114" si="59">SUM(N111:N113)</f>
        <v>5227.2706752283575</v>
      </c>
      <c r="O114" s="257">
        <f t="shared" ref="O114" si="60">SUM(O111:O113)</f>
        <v>5446.8160435879481</v>
      </c>
      <c r="P114" s="52"/>
    </row>
    <row r="115" spans="2:16"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</row>
    <row r="116" spans="2:16">
      <c r="B116" s="3" t="s">
        <v>15</v>
      </c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</row>
    <row r="117" spans="2:16">
      <c r="B117" t="s">
        <v>16</v>
      </c>
      <c r="C117" s="270">
        <f>Data!C42</f>
        <v>1269</v>
      </c>
      <c r="D117" s="270">
        <f>Data!D42</f>
        <v>1427</v>
      </c>
      <c r="E117" s="270">
        <f>Data!E42</f>
        <v>1587</v>
      </c>
      <c r="F117" s="270">
        <f>Data!F42</f>
        <v>1571</v>
      </c>
      <c r="G117" s="270">
        <f>Data!G42</f>
        <v>1573</v>
      </c>
      <c r="H117" s="270">
        <f>Data!H42</f>
        <v>1973</v>
      </c>
      <c r="I117" s="273">
        <f t="shared" ref="I117:O117" si="61">I106/365*(0-I13)</f>
        <v>2055.0584850512378</v>
      </c>
      <c r="J117" s="273">
        <f t="shared" si="61"/>
        <v>2128.3600217349303</v>
      </c>
      <c r="K117" s="273">
        <f t="shared" si="61"/>
        <v>2234.7294670797364</v>
      </c>
      <c r="L117" s="273">
        <f t="shared" si="61"/>
        <v>2335.2922930983241</v>
      </c>
      <c r="M117" s="273">
        <f t="shared" si="61"/>
        <v>2438.0451539946507</v>
      </c>
      <c r="N117" s="273">
        <f t="shared" si="61"/>
        <v>2540.4430504624261</v>
      </c>
      <c r="O117" s="273">
        <f t="shared" si="61"/>
        <v>2647.1416585818483</v>
      </c>
      <c r="P117" s="52"/>
    </row>
    <row r="118" spans="2:16">
      <c r="B118" t="s">
        <v>17</v>
      </c>
      <c r="C118" s="270">
        <f>Data!C43</f>
        <v>200</v>
      </c>
      <c r="D118" s="270">
        <f>Data!D43</f>
        <v>250</v>
      </c>
      <c r="E118" s="270">
        <f>Data!E43</f>
        <v>250</v>
      </c>
      <c r="F118" s="270">
        <f>Data!F43</f>
        <v>350</v>
      </c>
      <c r="G118" s="270">
        <f>Data!G43</f>
        <v>400</v>
      </c>
      <c r="H118" s="270">
        <f>Data!H43</f>
        <v>450</v>
      </c>
      <c r="I118" s="253">
        <f t="shared" ref="I118:O118" si="62">I107*I11</f>
        <v>461.65266497429309</v>
      </c>
      <c r="J118" s="253">
        <f t="shared" si="62"/>
        <v>483.3503402280848</v>
      </c>
      <c r="K118" s="253">
        <f t="shared" si="62"/>
        <v>486.85910566085164</v>
      </c>
      <c r="L118" s="253">
        <f t="shared" si="62"/>
        <v>508.76776541558985</v>
      </c>
      <c r="M118" s="253">
        <f t="shared" si="62"/>
        <v>531.15354709387589</v>
      </c>
      <c r="N118" s="253">
        <f t="shared" si="62"/>
        <v>553.4619960718187</v>
      </c>
      <c r="O118" s="253">
        <f t="shared" si="62"/>
        <v>576.70739990683512</v>
      </c>
      <c r="P118" s="52"/>
    </row>
    <row r="119" spans="2:16">
      <c r="B119" t="s">
        <v>18</v>
      </c>
      <c r="C119" s="271">
        <f>Data!C44</f>
        <v>1031</v>
      </c>
      <c r="D119" s="271">
        <f>Data!D44</f>
        <v>1016</v>
      </c>
      <c r="E119" s="271">
        <f>Data!E44</f>
        <v>1250</v>
      </c>
      <c r="F119" s="271">
        <f>Data!F44</f>
        <v>945</v>
      </c>
      <c r="G119" s="271">
        <f>Data!G44</f>
        <v>763</v>
      </c>
      <c r="H119" s="271">
        <f>Data!H44</f>
        <v>972</v>
      </c>
      <c r="I119" s="256">
        <f t="shared" ref="I119:O119" si="63">I108*I11</f>
        <v>1025.8948110539845</v>
      </c>
      <c r="J119" s="256">
        <f t="shared" si="63"/>
        <v>1074.1118671735219</v>
      </c>
      <c r="K119" s="256">
        <f t="shared" si="63"/>
        <v>1123.5210130635037</v>
      </c>
      <c r="L119" s="256">
        <f t="shared" si="63"/>
        <v>1174.0794586513612</v>
      </c>
      <c r="M119" s="256">
        <f t="shared" si="63"/>
        <v>1225.7389548320211</v>
      </c>
      <c r="N119" s="256">
        <f t="shared" si="63"/>
        <v>1277.2199909349663</v>
      </c>
      <c r="O119" s="256">
        <f t="shared" si="63"/>
        <v>1330.8632305542349</v>
      </c>
      <c r="P119" s="52"/>
    </row>
    <row r="120" spans="2:16">
      <c r="B120" s="3" t="s">
        <v>20</v>
      </c>
      <c r="C120" s="257">
        <f>SUM(C117:C119)</f>
        <v>2500</v>
      </c>
      <c r="D120" s="257">
        <f t="shared" ref="D120" si="64">SUM(D117:D119)</f>
        <v>2693</v>
      </c>
      <c r="E120" s="257">
        <f t="shared" ref="E120" si="65">SUM(E117:E119)</f>
        <v>3087</v>
      </c>
      <c r="F120" s="257">
        <f t="shared" ref="F120" si="66">SUM(F117:F119)</f>
        <v>2866</v>
      </c>
      <c r="G120" s="257">
        <f t="shared" ref="G120" si="67">SUM(G117:G119)</f>
        <v>2736</v>
      </c>
      <c r="H120" s="257">
        <f t="shared" ref="H120" si="68">SUM(H117:H119)</f>
        <v>3395</v>
      </c>
      <c r="I120" s="257">
        <f t="shared" ref="I120" si="69">SUM(I117:I119)</f>
        <v>3542.6059610795155</v>
      </c>
      <c r="J120" s="257">
        <f t="shared" ref="J120" si="70">SUM(J117:J119)</f>
        <v>3685.8222291365373</v>
      </c>
      <c r="K120" s="257">
        <f t="shared" ref="K120" si="71">SUM(K117:K119)</f>
        <v>3845.1095858040917</v>
      </c>
      <c r="L120" s="257">
        <f t="shared" ref="L120" si="72">SUM(L117:L119)</f>
        <v>4018.1395171652753</v>
      </c>
      <c r="M120" s="257">
        <f t="shared" ref="M120" si="73">SUM(M117:M119)</f>
        <v>4194.9376559205484</v>
      </c>
      <c r="N120" s="257">
        <f t="shared" ref="N120" si="74">SUM(N117:N119)</f>
        <v>4371.1250374692108</v>
      </c>
      <c r="O120" s="257">
        <f t="shared" ref="O120" si="75">SUM(O117:O119)</f>
        <v>4554.7122890429182</v>
      </c>
      <c r="P120" s="52"/>
    </row>
    <row r="121" spans="2:16"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</row>
    <row r="122" spans="2:16">
      <c r="B122" t="s">
        <v>22</v>
      </c>
      <c r="C122" s="253">
        <f>C114-C120</f>
        <v>255</v>
      </c>
      <c r="D122" s="253">
        <f t="shared" ref="D122:G122" si="76">D114-D120</f>
        <v>143</v>
      </c>
      <c r="E122" s="253">
        <f t="shared" si="76"/>
        <v>-53</v>
      </c>
      <c r="F122" s="253">
        <f t="shared" si="76"/>
        <v>184</v>
      </c>
      <c r="G122" s="253">
        <f t="shared" si="76"/>
        <v>372</v>
      </c>
      <c r="H122" s="253">
        <f t="shared" ref="H122:O122" si="77">H114-H120</f>
        <v>492</v>
      </c>
      <c r="I122" s="253">
        <f t="shared" si="77"/>
        <v>547.6868285866467</v>
      </c>
      <c r="J122" s="253">
        <f t="shared" si="77"/>
        <v>653.7858990604127</v>
      </c>
      <c r="K122" s="253">
        <f t="shared" si="77"/>
        <v>701.81586569446245</v>
      </c>
      <c r="L122" s="253">
        <f t="shared" si="77"/>
        <v>787.00851383570671</v>
      </c>
      <c r="M122" s="253">
        <f t="shared" si="77"/>
        <v>821.63688844447734</v>
      </c>
      <c r="N122" s="253">
        <f t="shared" si="77"/>
        <v>856.14563775914667</v>
      </c>
      <c r="O122" s="253">
        <f t="shared" si="77"/>
        <v>892.10375454502991</v>
      </c>
    </row>
    <row r="123" spans="2:16">
      <c r="B123" s="2" t="s">
        <v>53</v>
      </c>
      <c r="C123" s="11">
        <f t="shared" ref="C123:O123" si="78">IF(ISERROR(C122/C11),0,C122/C11)</f>
        <v>1.973226031107328E-2</v>
      </c>
      <c r="D123" s="11">
        <f t="shared" si="78"/>
        <v>1.0555842621982727E-2</v>
      </c>
      <c r="E123" s="11">
        <f t="shared" si="78"/>
        <v>-3.7381859218507548E-3</v>
      </c>
      <c r="F123" s="11">
        <f t="shared" si="78"/>
        <v>1.2381400982437252E-2</v>
      </c>
      <c r="G123" s="11">
        <f t="shared" si="78"/>
        <v>2.3907455012853469E-2</v>
      </c>
      <c r="H123" s="11">
        <f t="shared" si="78"/>
        <v>3.0163693213169026E-2</v>
      </c>
      <c r="I123" s="11">
        <f t="shared" si="78"/>
        <v>3.2031753510321226E-2</v>
      </c>
      <c r="J123" s="11">
        <f t="shared" si="78"/>
        <v>3.6520547945205463E-2</v>
      </c>
      <c r="K123" s="11">
        <f t="shared" si="78"/>
        <v>3.7479452054794513E-2</v>
      </c>
      <c r="L123" s="11">
        <f t="shared" si="78"/>
        <v>4.0219178082191769E-2</v>
      </c>
      <c r="M123" s="11">
        <f t="shared" si="78"/>
        <v>4.0219178082191741E-2</v>
      </c>
      <c r="N123" s="11">
        <f t="shared" si="78"/>
        <v>4.0219178082191796E-2</v>
      </c>
      <c r="O123" s="11">
        <f t="shared" si="78"/>
        <v>4.0219178082191755E-2</v>
      </c>
    </row>
    <row r="124" spans="2:16">
      <c r="B124" t="s">
        <v>23</v>
      </c>
      <c r="C124" s="253">
        <f>0-(C122-0)</f>
        <v>-255</v>
      </c>
      <c r="D124" s="253">
        <f>0-(D122-C122)</f>
        <v>112</v>
      </c>
      <c r="E124" s="253">
        <f t="shared" ref="E124:G124" si="79">0-(E122-D122)</f>
        <v>196</v>
      </c>
      <c r="F124" s="253">
        <f t="shared" si="79"/>
        <v>-237</v>
      </c>
      <c r="G124" s="253">
        <f t="shared" si="79"/>
        <v>-188</v>
      </c>
      <c r="H124" s="253">
        <f t="shared" ref="H124" si="80">0-(H122-G122)</f>
        <v>-120</v>
      </c>
      <c r="I124" s="253">
        <f t="shared" ref="I124" si="81">0-(I122-H122)</f>
        <v>-55.686828586646698</v>
      </c>
      <c r="J124" s="253">
        <f t="shared" ref="J124" si="82">0-(J122-I122)</f>
        <v>-106.09907047376601</v>
      </c>
      <c r="K124" s="253">
        <f t="shared" ref="K124" si="83">0-(K122-J122)</f>
        <v>-48.029966634049742</v>
      </c>
      <c r="L124" s="253">
        <f t="shared" ref="L124" si="84">0-(L122-K122)</f>
        <v>-85.192648141244263</v>
      </c>
      <c r="M124" s="253">
        <f t="shared" ref="M124" si="85">0-(M122-L122)</f>
        <v>-34.628374608770628</v>
      </c>
      <c r="N124" s="253">
        <f t="shared" ref="N124" si="86">0-(N122-M122)</f>
        <v>-34.50874931466933</v>
      </c>
      <c r="O124" s="253">
        <f t="shared" ref="O124" si="87">0-(O122-N122)</f>
        <v>-35.958116785883249</v>
      </c>
    </row>
    <row r="125" spans="2:16">
      <c r="B125" s="26" t="s">
        <v>53</v>
      </c>
      <c r="C125" s="336">
        <f>IF(ISERROR(C124/C11),0,C124/C11)</f>
        <v>-1.973226031107328E-2</v>
      </c>
      <c r="D125" s="336">
        <f t="shared" ref="D125:O125" si="88">IF(ISERROR(D124/D11),0,D124/D11)</f>
        <v>8.2675131025319263E-3</v>
      </c>
      <c r="E125" s="336">
        <f t="shared" si="88"/>
        <v>1.3824234729863168E-2</v>
      </c>
      <c r="F125" s="336">
        <f t="shared" si="88"/>
        <v>-1.5947782787161024E-2</v>
      </c>
      <c r="G125" s="336">
        <f t="shared" si="88"/>
        <v>-1.2082262210796915E-2</v>
      </c>
      <c r="H125" s="336">
        <f t="shared" si="88"/>
        <v>-7.3569983446753725E-3</v>
      </c>
      <c r="I125" s="336">
        <f t="shared" si="88"/>
        <v>-3.2568735889853141E-3</v>
      </c>
      <c r="J125" s="336">
        <f t="shared" si="88"/>
        <v>-5.9267050509158445E-3</v>
      </c>
      <c r="K125" s="336">
        <f t="shared" si="88"/>
        <v>-2.5649702716152929E-3</v>
      </c>
      <c r="L125" s="336">
        <f t="shared" si="88"/>
        <v>-4.3536737235367259E-3</v>
      </c>
      <c r="M125" s="336">
        <f t="shared" si="88"/>
        <v>-1.6950611452264499E-3</v>
      </c>
      <c r="N125" s="336">
        <f t="shared" si="88"/>
        <v>-1.6211185023532781E-3</v>
      </c>
      <c r="O125" s="336">
        <f t="shared" si="88"/>
        <v>-1.621118502353179E-3</v>
      </c>
    </row>
    <row r="126" spans="2:16">
      <c r="D126" s="51"/>
      <c r="E126" s="51"/>
      <c r="F126" s="51"/>
      <c r="G126" s="51"/>
      <c r="H126" s="51"/>
      <c r="I126" s="52"/>
      <c r="J126" s="51"/>
      <c r="K126" s="51"/>
      <c r="L126" s="51"/>
      <c r="M126" s="51"/>
      <c r="N126" s="51"/>
      <c r="O126" s="51"/>
    </row>
    <row r="127" spans="2:16" ht="21">
      <c r="B127" s="31" t="str">
        <f>""&amp;Data!C3&amp;" - Discounted Cash Flow Valuation (continued)"</f>
        <v>Serial Co. - Discounted Cash Flow Valuation (continued)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9" spans="2:12" ht="19">
      <c r="B129" s="23" t="s">
        <v>109</v>
      </c>
    </row>
    <row r="131" spans="2:12">
      <c r="B131" s="185" t="s">
        <v>54</v>
      </c>
      <c r="C131" s="185"/>
      <c r="D131" s="185"/>
      <c r="E131" s="165"/>
      <c r="F131" s="186" t="s">
        <v>65</v>
      </c>
      <c r="G131" s="186"/>
      <c r="H131" s="187"/>
      <c r="I131" s="186"/>
      <c r="J131" s="186"/>
      <c r="K131" s="186"/>
      <c r="L131" s="186"/>
    </row>
    <row r="132" spans="2:12">
      <c r="B132" s="165"/>
      <c r="C132" s="165"/>
      <c r="D132" s="165"/>
      <c r="E132" s="165"/>
      <c r="F132" s="188"/>
      <c r="G132" s="189" t="s">
        <v>66</v>
      </c>
      <c r="H132" s="189" t="s">
        <v>81</v>
      </c>
      <c r="I132" s="189" t="s">
        <v>81</v>
      </c>
      <c r="J132" s="189" t="s">
        <v>67</v>
      </c>
      <c r="K132" s="189" t="s">
        <v>68</v>
      </c>
      <c r="L132" s="189" t="s">
        <v>69</v>
      </c>
    </row>
    <row r="133" spans="2:12">
      <c r="B133" s="165" t="s">
        <v>149</v>
      </c>
      <c r="C133" s="165"/>
      <c r="D133" s="304" t="s">
        <v>150</v>
      </c>
      <c r="E133" s="165"/>
      <c r="F133" s="190" t="s">
        <v>70</v>
      </c>
      <c r="G133" s="191" t="s">
        <v>61</v>
      </c>
      <c r="H133" s="191" t="s">
        <v>82</v>
      </c>
      <c r="I133" s="191" t="s">
        <v>83</v>
      </c>
      <c r="J133" s="191" t="s">
        <v>71</v>
      </c>
      <c r="K133" s="191" t="s">
        <v>51</v>
      </c>
      <c r="L133" s="191" t="s">
        <v>72</v>
      </c>
    </row>
    <row r="134" spans="2:12">
      <c r="B134" s="165" t="s">
        <v>172</v>
      </c>
      <c r="C134" s="165"/>
      <c r="D134" s="192">
        <v>0.8</v>
      </c>
      <c r="E134" s="165"/>
      <c r="F134" s="193" t="s">
        <v>154</v>
      </c>
      <c r="G134" s="192">
        <v>0.55000000000000004</v>
      </c>
      <c r="H134" s="194">
        <v>50</v>
      </c>
      <c r="I134" s="269">
        <v>17591.306</v>
      </c>
      <c r="J134" s="195">
        <f>+IF(ISERROR(H134/I134),0,H134/I134)</f>
        <v>2.8423131289967898E-3</v>
      </c>
      <c r="K134" s="196">
        <v>0.25</v>
      </c>
      <c r="L134" s="197">
        <f>+G134/(1+(J134)*(1-K134))</f>
        <v>0.54883003987904799</v>
      </c>
    </row>
    <row r="135" spans="2:12">
      <c r="B135" s="165"/>
      <c r="C135" s="165"/>
      <c r="D135" s="165"/>
      <c r="E135" s="165"/>
      <c r="F135" s="193" t="s">
        <v>153</v>
      </c>
      <c r="G135" s="192">
        <v>0.3</v>
      </c>
      <c r="H135" s="194">
        <v>50</v>
      </c>
      <c r="I135" s="269">
        <v>45505.328000000009</v>
      </c>
      <c r="J135" s="195">
        <f>+IF(ISERROR(H135/I135),0,H135/I135)</f>
        <v>1.0987724338565362E-3</v>
      </c>
      <c r="K135" s="196">
        <v>0.25</v>
      </c>
      <c r="L135" s="197">
        <f>+G135/(1+(J135)*(1-K135))</f>
        <v>0.2997529797666495</v>
      </c>
    </row>
    <row r="136" spans="2:12">
      <c r="B136" s="165"/>
      <c r="C136" s="165"/>
      <c r="D136" s="165"/>
      <c r="E136" s="165"/>
      <c r="F136" s="193" t="s">
        <v>156</v>
      </c>
      <c r="G136" s="192">
        <v>0.73</v>
      </c>
      <c r="H136" s="194">
        <v>50</v>
      </c>
      <c r="I136" s="269">
        <v>48910.257000000005</v>
      </c>
      <c r="J136" s="195">
        <f>+IF(ISERROR(H136/I136),0,H136/I136)</f>
        <v>1.0222804594954386E-3</v>
      </c>
      <c r="K136" s="196">
        <v>0.25</v>
      </c>
      <c r="L136" s="197">
        <f>+G136/(1+(J136)*(1-K136))</f>
        <v>0.72944073024633183</v>
      </c>
    </row>
    <row r="137" spans="2:12">
      <c r="B137" s="165"/>
      <c r="C137" s="165"/>
      <c r="D137" s="165"/>
      <c r="E137" s="165"/>
      <c r="F137" s="193" t="s">
        <v>158</v>
      </c>
      <c r="G137" s="192">
        <v>0.34</v>
      </c>
      <c r="H137" s="194">
        <v>50</v>
      </c>
      <c r="I137" s="269">
        <v>15597.96</v>
      </c>
      <c r="J137" s="195">
        <f>+IF(ISERROR(H137/I137),0,H137/I137)</f>
        <v>3.205547392094864E-3</v>
      </c>
      <c r="K137" s="196">
        <v>0.25</v>
      </c>
      <c r="L137" s="197">
        <f>+G137/(1+(J137)*(1-K137))</f>
        <v>0.33918454589759434</v>
      </c>
    </row>
    <row r="138" spans="2:12">
      <c r="B138" s="198" t="s">
        <v>55</v>
      </c>
      <c r="C138" s="199"/>
      <c r="D138" s="199"/>
      <c r="E138" s="165"/>
      <c r="F138" s="193" t="s">
        <v>159</v>
      </c>
      <c r="G138" s="192">
        <v>0.35</v>
      </c>
      <c r="H138" s="194">
        <v>50</v>
      </c>
      <c r="I138" s="269">
        <v>49332.703000000001</v>
      </c>
      <c r="J138" s="195">
        <f>+IF(ISERROR(H138/I138),0,H138/I138)</f>
        <v>1.0135264633685285E-3</v>
      </c>
      <c r="K138" s="196">
        <v>0.25</v>
      </c>
      <c r="L138" s="197">
        <f>+G138/(1+(J138)*(1-K138))</f>
        <v>0.34973415138681929</v>
      </c>
    </row>
    <row r="139" spans="2:12">
      <c r="B139" s="188" t="s">
        <v>56</v>
      </c>
      <c r="C139" s="188"/>
      <c r="D139" s="196">
        <v>0.25</v>
      </c>
      <c r="E139" s="165"/>
      <c r="F139" s="200"/>
      <c r="G139" s="201"/>
      <c r="H139" s="202"/>
      <c r="I139" s="202"/>
      <c r="J139" s="203"/>
      <c r="K139" s="204"/>
      <c r="L139" s="205"/>
    </row>
    <row r="140" spans="2:12">
      <c r="B140" s="206" t="s">
        <v>57</v>
      </c>
      <c r="C140" s="199"/>
      <c r="D140" s="195">
        <f>1-D139</f>
        <v>0.75</v>
      </c>
      <c r="E140" s="165"/>
      <c r="F140" s="207" t="s">
        <v>73</v>
      </c>
      <c r="G140" s="208">
        <f>AVERAGE(G134:G139)</f>
        <v>0.45400000000000001</v>
      </c>
      <c r="H140" s="209"/>
      <c r="I140" s="209"/>
      <c r="J140" s="210">
        <f>AVERAGE(J134:J139)</f>
        <v>1.8364879755624313E-3</v>
      </c>
      <c r="K140" s="209"/>
      <c r="L140" s="208">
        <f>AVERAGE(L134:L139)</f>
        <v>0.45338848943528853</v>
      </c>
    </row>
    <row r="141" spans="2:12">
      <c r="B141" s="206"/>
      <c r="C141" s="199"/>
      <c r="D141" s="211"/>
      <c r="E141" s="165"/>
      <c r="F141" s="207" t="s">
        <v>74</v>
      </c>
      <c r="G141" s="208">
        <f>MEDIAN(G134:G139)</f>
        <v>0.35</v>
      </c>
      <c r="H141" s="209"/>
      <c r="I141" s="209"/>
      <c r="J141" s="210">
        <f>MEDIAN(J134:J139)</f>
        <v>1.0987724338565362E-3</v>
      </c>
      <c r="K141" s="209"/>
      <c r="L141" s="208">
        <f>MEDIAN(L134:L139)</f>
        <v>0.34973415138681929</v>
      </c>
    </row>
    <row r="142" spans="2:12">
      <c r="B142" s="199"/>
      <c r="C142" s="199"/>
      <c r="D142" s="199"/>
      <c r="E142" s="165"/>
      <c r="F142" s="199"/>
      <c r="G142" s="199"/>
      <c r="H142" s="199"/>
      <c r="I142" s="199"/>
      <c r="J142" s="199"/>
      <c r="K142" s="199"/>
      <c r="L142" s="199"/>
    </row>
    <row r="143" spans="2:12">
      <c r="B143" s="198" t="s">
        <v>58</v>
      </c>
      <c r="C143" s="188"/>
      <c r="D143" s="188"/>
      <c r="E143" s="165"/>
      <c r="F143" s="186" t="e">
        <f>""&amp;#REF!&amp;" Relevered Beta"</f>
        <v>#REF!</v>
      </c>
      <c r="G143" s="186"/>
      <c r="H143" s="186"/>
      <c r="I143" s="186"/>
      <c r="J143" s="186"/>
      <c r="K143" s="186"/>
      <c r="L143" s="186"/>
    </row>
    <row r="144" spans="2:12">
      <c r="B144" s="188" t="s">
        <v>368</v>
      </c>
      <c r="C144" s="188"/>
      <c r="D144" s="196">
        <v>4.4999999999999998E-2</v>
      </c>
      <c r="E144" s="165"/>
      <c r="F144" s="188"/>
      <c r="G144" s="188"/>
      <c r="H144" s="188"/>
      <c r="I144" s="189" t="s">
        <v>75</v>
      </c>
      <c r="J144" s="189" t="s">
        <v>76</v>
      </c>
      <c r="K144" s="189" t="s">
        <v>76</v>
      </c>
      <c r="L144" s="188"/>
    </row>
    <row r="145" spans="2:12">
      <c r="B145" s="188" t="s">
        <v>51</v>
      </c>
      <c r="C145" s="188"/>
      <c r="D145" s="196">
        <v>0.21</v>
      </c>
      <c r="E145" s="165"/>
      <c r="F145" s="188"/>
      <c r="G145" s="188"/>
      <c r="H145" s="188"/>
      <c r="I145" s="189" t="s">
        <v>69</v>
      </c>
      <c r="J145" s="189" t="s">
        <v>67</v>
      </c>
      <c r="K145" s="189" t="s">
        <v>68</v>
      </c>
      <c r="L145" s="189" t="s">
        <v>77</v>
      </c>
    </row>
    <row r="146" spans="2:12">
      <c r="B146" s="141" t="s">
        <v>59</v>
      </c>
      <c r="C146" s="141"/>
      <c r="D146" s="142">
        <f>+D144*(1-D145)</f>
        <v>3.5549999999999998E-2</v>
      </c>
      <c r="E146" s="165"/>
      <c r="F146" s="188"/>
      <c r="G146" s="188"/>
      <c r="H146" s="188"/>
      <c r="I146" s="191" t="s">
        <v>72</v>
      </c>
      <c r="J146" s="191" t="s">
        <v>71</v>
      </c>
      <c r="K146" s="191" t="s">
        <v>51</v>
      </c>
      <c r="L146" s="191" t="s">
        <v>72</v>
      </c>
    </row>
    <row r="147" spans="2:12">
      <c r="B147" s="141"/>
      <c r="C147" s="141"/>
      <c r="D147" s="199"/>
      <c r="E147" s="165"/>
      <c r="F147" s="141" t="s">
        <v>78</v>
      </c>
      <c r="G147" s="188"/>
      <c r="H147" s="188"/>
      <c r="I147" s="197">
        <f>L140</f>
        <v>0.45338848943528853</v>
      </c>
      <c r="J147" s="195">
        <f>D139/D140</f>
        <v>0.33333333333333331</v>
      </c>
      <c r="K147" s="195">
        <f>D145</f>
        <v>0.21</v>
      </c>
      <c r="L147" s="212">
        <f>+I147*(1+(J147)*(1-K147))</f>
        <v>0.5727807916532478</v>
      </c>
    </row>
    <row r="148" spans="2:12">
      <c r="B148" s="199"/>
      <c r="C148" s="199"/>
      <c r="D148" s="199"/>
      <c r="E148" s="165"/>
      <c r="F148" s="141"/>
      <c r="G148" s="188"/>
      <c r="H148" s="188"/>
      <c r="I148" s="213"/>
      <c r="J148" s="214"/>
      <c r="K148" s="214"/>
      <c r="L148" s="215"/>
    </row>
    <row r="149" spans="2:12">
      <c r="B149" s="198" t="s">
        <v>60</v>
      </c>
      <c r="C149" s="188"/>
      <c r="D149" s="188"/>
      <c r="E149" s="165"/>
      <c r="F149" s="186" t="s">
        <v>79</v>
      </c>
      <c r="G149" s="186"/>
      <c r="H149" s="186"/>
      <c r="I149" s="186"/>
      <c r="J149" s="186"/>
      <c r="K149" s="186"/>
      <c r="L149" s="186"/>
    </row>
    <row r="150" spans="2:12">
      <c r="B150" s="188" t="s">
        <v>63</v>
      </c>
      <c r="C150" s="188"/>
      <c r="D150" s="196">
        <v>0.04</v>
      </c>
      <c r="E150" s="165"/>
      <c r="F150" s="135"/>
      <c r="G150" s="199"/>
      <c r="H150" s="338" t="s">
        <v>80</v>
      </c>
      <c r="I150" s="338"/>
      <c r="J150" s="338"/>
      <c r="K150" s="338"/>
      <c r="L150" s="338"/>
    </row>
    <row r="151" spans="2:12">
      <c r="B151" s="188" t="s">
        <v>64</v>
      </c>
      <c r="C151" s="188"/>
      <c r="D151" s="196">
        <v>7.0000000000000007E-2</v>
      </c>
      <c r="E151" s="165"/>
      <c r="F151" s="337" t="s">
        <v>56</v>
      </c>
      <c r="G151" s="155">
        <f>D157</f>
        <v>8.0887500000000001E-2</v>
      </c>
      <c r="H151" s="216">
        <f>I151-0.005</f>
        <v>3.5000000000000003E-2</v>
      </c>
      <c r="I151" s="216">
        <f>J151-0.005</f>
        <v>0.04</v>
      </c>
      <c r="J151" s="217">
        <v>4.4999999999999998E-2</v>
      </c>
      <c r="K151" s="216">
        <f>J151+0.005</f>
        <v>4.9999999999999996E-2</v>
      </c>
      <c r="L151" s="216">
        <f>K151+0.005</f>
        <v>5.4999999999999993E-2</v>
      </c>
    </row>
    <row r="152" spans="2:12">
      <c r="B152" s="188" t="s">
        <v>61</v>
      </c>
      <c r="C152" s="188"/>
      <c r="D152" s="197">
        <f>IF(D133="Yes",D134,L147)</f>
        <v>0.8</v>
      </c>
      <c r="E152" s="165"/>
      <c r="F152" s="337"/>
      <c r="G152" s="159">
        <f>G153-0.1</f>
        <v>4.9999999999999989E-2</v>
      </c>
      <c r="H152" s="167">
        <f t="dataTable" ref="H152:L156" dt2D="1" dtr="1" r1="D144" r2="D139"/>
        <v>9.2582499999999998E-2</v>
      </c>
      <c r="I152" s="173">
        <v>9.2780000000000001E-2</v>
      </c>
      <c r="J152" s="173">
        <v>9.2977500000000005E-2</v>
      </c>
      <c r="K152" s="173">
        <v>9.3175000000000008E-2</v>
      </c>
      <c r="L152" s="173">
        <v>9.3372499999999997E-2</v>
      </c>
    </row>
    <row r="153" spans="2:12">
      <c r="B153" s="199" t="s">
        <v>84</v>
      </c>
      <c r="C153" s="199"/>
      <c r="D153" s="196">
        <v>0</v>
      </c>
      <c r="E153" s="165"/>
      <c r="F153" s="337"/>
      <c r="G153" s="159">
        <f>G154-0.1</f>
        <v>0.15</v>
      </c>
      <c r="H153" s="171">
        <v>8.5747500000000004E-2</v>
      </c>
      <c r="I153" s="172">
        <v>8.634E-2</v>
      </c>
      <c r="J153" s="172">
        <v>8.693250000000001E-2</v>
      </c>
      <c r="K153" s="172">
        <v>8.7525000000000006E-2</v>
      </c>
      <c r="L153" s="173">
        <v>8.8117500000000001E-2</v>
      </c>
    </row>
    <row r="154" spans="2:12">
      <c r="B154" s="141" t="s">
        <v>62</v>
      </c>
      <c r="C154" s="188"/>
      <c r="D154" s="142">
        <f>+D150+(D152*D151)+D153</f>
        <v>9.6000000000000002E-2</v>
      </c>
      <c r="E154" s="165"/>
      <c r="F154" s="337"/>
      <c r="G154" s="163">
        <v>0.25</v>
      </c>
      <c r="H154" s="171">
        <v>7.891250000000001E-2</v>
      </c>
      <c r="I154" s="172">
        <v>7.9900000000000013E-2</v>
      </c>
      <c r="J154" s="175">
        <v>8.0887500000000001E-2</v>
      </c>
      <c r="K154" s="172">
        <v>8.1875000000000003E-2</v>
      </c>
      <c r="L154" s="173">
        <v>8.2862500000000006E-2</v>
      </c>
    </row>
    <row r="155" spans="2:12">
      <c r="B155" s="141"/>
      <c r="C155" s="188"/>
      <c r="D155" s="199"/>
      <c r="E155" s="165"/>
      <c r="F155" s="337"/>
      <c r="G155" s="159">
        <f>G154+0.1</f>
        <v>0.35</v>
      </c>
      <c r="H155" s="171">
        <v>7.2077500000000003E-2</v>
      </c>
      <c r="I155" s="172">
        <v>7.3459999999999998E-2</v>
      </c>
      <c r="J155" s="172">
        <v>7.4842500000000006E-2</v>
      </c>
      <c r="K155" s="172">
        <v>7.6225000000000001E-2</v>
      </c>
      <c r="L155" s="173">
        <v>7.7607499999999996E-2</v>
      </c>
    </row>
    <row r="156" spans="2:12">
      <c r="B156" s="198"/>
      <c r="C156" s="188"/>
      <c r="D156" s="188"/>
      <c r="E156" s="165"/>
      <c r="F156" s="337"/>
      <c r="G156" s="159">
        <f>G155+0.1</f>
        <v>0.44999999999999996</v>
      </c>
      <c r="H156" s="171">
        <v>6.5242500000000009E-2</v>
      </c>
      <c r="I156" s="173">
        <v>6.702000000000001E-2</v>
      </c>
      <c r="J156" s="173">
        <v>6.8797500000000011E-2</v>
      </c>
      <c r="K156" s="173">
        <v>7.0574999999999999E-2</v>
      </c>
      <c r="L156" s="173">
        <v>7.23525E-2</v>
      </c>
    </row>
    <row r="157" spans="2:12">
      <c r="B157" s="141" t="s">
        <v>40</v>
      </c>
      <c r="C157" s="188"/>
      <c r="D157" s="142">
        <f>(D139*D146)+(D140*D154)</f>
        <v>8.0887500000000001E-2</v>
      </c>
      <c r="E157" s="165"/>
      <c r="F157" s="166"/>
      <c r="G157" s="159"/>
      <c r="H157" s="173"/>
      <c r="I157" s="173"/>
      <c r="J157" s="173"/>
      <c r="K157" s="173"/>
      <c r="L157" s="173"/>
    </row>
    <row r="158" spans="2:12">
      <c r="B158" s="218"/>
      <c r="C158" s="218"/>
      <c r="D158" s="218"/>
      <c r="E158" s="165"/>
      <c r="F158" s="165"/>
      <c r="G158" s="165"/>
      <c r="H158" s="165"/>
      <c r="I158" s="165"/>
      <c r="J158" s="165"/>
      <c r="K158" s="165"/>
      <c r="L158" s="165"/>
    </row>
    <row r="159" spans="2:12">
      <c r="B159" s="219" t="s">
        <v>104</v>
      </c>
      <c r="C159" s="219"/>
      <c r="D159" s="219"/>
      <c r="E159" s="219"/>
      <c r="F159" s="219"/>
      <c r="G159" s="165"/>
      <c r="H159" s="165"/>
      <c r="I159" s="165"/>
      <c r="J159" s="165"/>
      <c r="K159" s="165"/>
      <c r="L159" s="165"/>
    </row>
    <row r="160" spans="2:12">
      <c r="B160" s="220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</row>
    <row r="161" spans="2:12">
      <c r="B161" s="221" t="s">
        <v>103</v>
      </c>
      <c r="C161" s="222">
        <v>75</v>
      </c>
      <c r="D161" s="165"/>
      <c r="E161" s="165"/>
      <c r="F161" s="165"/>
      <c r="G161" s="165"/>
      <c r="H161" s="165"/>
      <c r="I161" s="165"/>
      <c r="J161" s="165"/>
      <c r="K161" s="165"/>
      <c r="L161" s="165"/>
    </row>
    <row r="162" spans="2:12">
      <c r="B162" s="221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</row>
    <row r="163" spans="2:12">
      <c r="B163" s="220"/>
      <c r="C163" s="220" t="s">
        <v>85</v>
      </c>
      <c r="D163" s="220" t="s">
        <v>86</v>
      </c>
      <c r="E163" s="220" t="s">
        <v>87</v>
      </c>
      <c r="F163" s="223"/>
      <c r="G163" s="165"/>
      <c r="H163" s="165"/>
      <c r="I163" s="165"/>
      <c r="J163" s="165"/>
      <c r="K163" s="165"/>
      <c r="L163" s="165"/>
    </row>
    <row r="164" spans="2:12">
      <c r="B164" s="224" t="s">
        <v>105</v>
      </c>
      <c r="C164" s="224" t="s">
        <v>88</v>
      </c>
      <c r="D164" s="224" t="s">
        <v>89</v>
      </c>
      <c r="E164" s="224" t="s">
        <v>88</v>
      </c>
      <c r="F164" s="224" t="s">
        <v>90</v>
      </c>
      <c r="G164" s="165"/>
      <c r="H164" s="165"/>
      <c r="I164" s="165"/>
      <c r="J164" s="165"/>
      <c r="K164" s="165"/>
      <c r="L164" s="165"/>
    </row>
    <row r="165" spans="2:12">
      <c r="B165" s="225" t="s">
        <v>91</v>
      </c>
      <c r="C165" s="226">
        <v>15</v>
      </c>
      <c r="D165" s="227">
        <v>65</v>
      </c>
      <c r="E165" s="228">
        <f>IF(ISERROR(IF(D165&lt;$C$161,C165,0)),0,IF(D165&lt;$C$161,C165,0))</f>
        <v>15</v>
      </c>
      <c r="F165" s="229">
        <f>E165*D165</f>
        <v>975</v>
      </c>
      <c r="G165" s="165"/>
      <c r="H165" s="165"/>
      <c r="I165" s="165"/>
      <c r="J165" s="165"/>
      <c r="K165" s="165"/>
      <c r="L165" s="165"/>
    </row>
    <row r="166" spans="2:12">
      <c r="B166" s="225" t="s">
        <v>92</v>
      </c>
      <c r="C166" s="226">
        <v>0</v>
      </c>
      <c r="D166" s="230">
        <v>0</v>
      </c>
      <c r="E166" s="231">
        <f>+IF(ISERROR(+IF(D166&lt;$F$163,C166,0)),0,IF(D166&lt;$F$163,C166,0))</f>
        <v>0</v>
      </c>
      <c r="F166" s="229">
        <f>E166*D166</f>
        <v>0</v>
      </c>
      <c r="G166" s="165"/>
      <c r="H166" s="165"/>
      <c r="I166" s="165"/>
      <c r="J166" s="165"/>
      <c r="K166" s="165"/>
      <c r="L166" s="165"/>
    </row>
    <row r="167" spans="2:12">
      <c r="B167" s="225" t="s">
        <v>93</v>
      </c>
      <c r="C167" s="232">
        <v>0</v>
      </c>
      <c r="D167" s="233">
        <v>0</v>
      </c>
      <c r="E167" s="228">
        <f>+IF(ISERROR(+IF(D167&lt;$F$163,C167,0)),0,IF(D167&lt;$F$163,C167,0))</f>
        <v>0</v>
      </c>
      <c r="F167" s="229">
        <f>E167*D167</f>
        <v>0</v>
      </c>
      <c r="G167" s="165"/>
      <c r="H167" s="165"/>
      <c r="I167" s="165"/>
      <c r="J167" s="165"/>
      <c r="K167" s="165"/>
      <c r="L167" s="165"/>
    </row>
    <row r="168" spans="2:12">
      <c r="B168" s="225" t="s">
        <v>94</v>
      </c>
      <c r="C168" s="232">
        <v>0</v>
      </c>
      <c r="D168" s="233">
        <v>0</v>
      </c>
      <c r="E168" s="228">
        <f>+IF(ISERROR(+IF(D168&lt;$F$163,C168,0)),0,IF(D168&lt;$F$163,C168,0))</f>
        <v>0</v>
      </c>
      <c r="F168" s="229">
        <f>E168*D168</f>
        <v>0</v>
      </c>
      <c r="G168" s="165"/>
      <c r="H168" s="165"/>
      <c r="I168" s="165"/>
      <c r="J168" s="165"/>
      <c r="K168" s="165"/>
      <c r="L168" s="165"/>
    </row>
    <row r="169" spans="2:12">
      <c r="B169" s="225" t="s">
        <v>95</v>
      </c>
      <c r="C169" s="234">
        <v>0</v>
      </c>
      <c r="D169" s="235">
        <v>0</v>
      </c>
      <c r="E169" s="236">
        <f>+IF(ISERROR(+IF(D169&lt;$F$163,C169,0)),0,IF(D169&lt;$F$163,C169,0))</f>
        <v>0</v>
      </c>
      <c r="F169" s="237">
        <f>E169*D169</f>
        <v>0</v>
      </c>
      <c r="G169" s="165"/>
      <c r="H169" s="165"/>
      <c r="I169" s="165"/>
      <c r="J169" s="165"/>
      <c r="K169" s="165"/>
      <c r="L169" s="165"/>
    </row>
    <row r="170" spans="2:12">
      <c r="B170" s="238" t="s">
        <v>96</v>
      </c>
      <c r="C170" s="239">
        <f>SUM(C165:C169)</f>
        <v>15</v>
      </c>
      <c r="D170" s="240"/>
      <c r="E170" s="239">
        <f>SUM(E165:E169)</f>
        <v>15</v>
      </c>
      <c r="F170" s="241">
        <f>SUM(F165:F169)</f>
        <v>975</v>
      </c>
      <c r="G170" s="165"/>
      <c r="H170" s="165"/>
      <c r="I170" s="165"/>
      <c r="J170" s="165"/>
      <c r="K170" s="165"/>
      <c r="L170" s="165"/>
    </row>
    <row r="171" spans="2:12">
      <c r="B171" s="242"/>
      <c r="C171" s="242"/>
      <c r="D171" s="242"/>
      <c r="E171" s="242"/>
      <c r="F171" s="242"/>
      <c r="G171" s="165"/>
      <c r="H171" s="165"/>
      <c r="I171" s="165"/>
      <c r="J171" s="165"/>
      <c r="K171" s="165"/>
      <c r="L171" s="165"/>
    </row>
    <row r="172" spans="2:12">
      <c r="B172" s="243" t="s">
        <v>97</v>
      </c>
      <c r="C172" s="243"/>
      <c r="D172" s="243"/>
      <c r="E172" s="243"/>
      <c r="F172" s="226">
        <v>340</v>
      </c>
      <c r="G172" s="165"/>
      <c r="H172" s="165"/>
      <c r="I172" s="165"/>
      <c r="J172" s="165"/>
      <c r="K172" s="165"/>
      <c r="L172" s="165"/>
    </row>
    <row r="173" spans="2:12">
      <c r="B173" s="243" t="s">
        <v>98</v>
      </c>
      <c r="C173" s="243"/>
      <c r="D173" s="243"/>
      <c r="E173" s="243"/>
      <c r="F173" s="244">
        <f>E170</f>
        <v>15</v>
      </c>
      <c r="G173" s="165"/>
      <c r="H173" s="165"/>
      <c r="I173" s="165"/>
      <c r="J173" s="165"/>
      <c r="K173" s="165"/>
      <c r="L173" s="165"/>
    </row>
    <row r="174" spans="2:12">
      <c r="B174" s="243" t="s">
        <v>99</v>
      </c>
      <c r="C174" s="243"/>
      <c r="D174" s="243"/>
      <c r="E174" s="243"/>
      <c r="F174" s="245">
        <f>+IF(ISERROR(-F170/C161),0,-F170/C161)</f>
        <v>-13</v>
      </c>
      <c r="G174" s="165"/>
      <c r="H174" s="165"/>
      <c r="I174" s="165"/>
      <c r="J174" s="165"/>
      <c r="K174" s="165"/>
      <c r="L174" s="165"/>
    </row>
    <row r="175" spans="2:12">
      <c r="B175" s="246" t="s">
        <v>100</v>
      </c>
      <c r="C175" s="246"/>
      <c r="D175" s="246"/>
      <c r="E175" s="246"/>
      <c r="F175" s="247">
        <f>+IF(ISERROR(F173+F174),0,F173+F174)</f>
        <v>2</v>
      </c>
      <c r="G175" s="165"/>
      <c r="H175" s="165"/>
      <c r="I175" s="165"/>
      <c r="J175" s="165"/>
      <c r="K175" s="165"/>
      <c r="L175" s="165"/>
    </row>
    <row r="176" spans="2:12">
      <c r="B176" s="248" t="s">
        <v>101</v>
      </c>
      <c r="C176" s="243"/>
      <c r="D176" s="243"/>
      <c r="E176" s="243"/>
      <c r="F176" s="249">
        <v>0</v>
      </c>
      <c r="G176" s="165"/>
      <c r="H176" s="165"/>
      <c r="I176" s="165"/>
      <c r="J176" s="165"/>
      <c r="K176" s="165"/>
      <c r="L176" s="165"/>
    </row>
    <row r="177" spans="2:12">
      <c r="B177" s="246" t="s">
        <v>102</v>
      </c>
      <c r="C177" s="243"/>
      <c r="D177" s="243"/>
      <c r="E177" s="243"/>
      <c r="F177" s="247">
        <f>F172+SUM(F175:F176)</f>
        <v>342</v>
      </c>
      <c r="G177" s="165"/>
      <c r="H177" s="165"/>
      <c r="I177" s="165"/>
      <c r="J177" s="165"/>
      <c r="K177" s="165"/>
      <c r="L177" s="165"/>
    </row>
  </sheetData>
  <mergeCells count="8">
    <mergeCell ref="B61:B65"/>
    <mergeCell ref="I61:I65"/>
    <mergeCell ref="H150:L150"/>
    <mergeCell ref="F151:F156"/>
    <mergeCell ref="B71:B75"/>
    <mergeCell ref="I71:I75"/>
    <mergeCell ref="B81:B85"/>
    <mergeCell ref="I81:I85"/>
  </mergeCells>
  <dataValidations count="1">
    <dataValidation type="list" allowBlank="1" showInputMessage="1" showErrorMessage="1" sqref="C5:C6" xr:uid="{FF13159C-BB16-47ED-9A5D-757B6F510A48}">
      <formula1>"Yes, No"</formula1>
    </dataValidation>
  </dataValidations>
  <printOptions horizontalCentered="1"/>
  <pageMargins left="0.7" right="0.7" top="0.75" bottom="0.75" header="0.3" footer="0.3"/>
  <pageSetup scale="64" fitToHeight="2" orientation="landscape" r:id="rId1"/>
  <headerFooter>
    <oddFooter>&amp;L© Atif Ellahie&amp;C&amp;P</oddFooter>
  </headerFooter>
  <rowBreaks count="3" manualBreakCount="3">
    <brk id="53" min="1" max="14" man="1"/>
    <brk id="87" min="1" max="14" man="1"/>
    <brk id="126" min="1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8ACD-FD65-42D3-B6BB-F457A7E36719}">
  <sheetPr>
    <pageSetUpPr fitToPage="1"/>
  </sheetPr>
  <dimension ref="B1:CY49"/>
  <sheetViews>
    <sheetView showGridLines="0" zoomScale="90" zoomScaleNormal="90"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5" outlineLevelCol="1"/>
  <cols>
    <col min="1" max="1" width="2.83203125" customWidth="1"/>
    <col min="2" max="2" width="32.6640625" customWidth="1"/>
    <col min="3" max="3" width="10.83203125" customWidth="1"/>
    <col min="4" max="4" width="11.6640625" customWidth="1"/>
    <col min="5" max="5" width="2.83203125" customWidth="1"/>
    <col min="6" max="7" width="10.83203125" customWidth="1"/>
    <col min="8" max="8" width="10.83203125" hidden="1" customWidth="1" outlineLevel="1"/>
    <col min="9" max="9" width="2.83203125" customWidth="1" collapsed="1"/>
    <col min="10" max="11" width="10.83203125" customWidth="1"/>
    <col min="12" max="12" width="10.83203125" hidden="1" customWidth="1" outlineLevel="1"/>
    <col min="13" max="13" width="2.83203125" customWidth="1" collapsed="1"/>
    <col min="14" max="15" width="10.83203125" customWidth="1"/>
    <col min="16" max="16" width="10.83203125" hidden="1" customWidth="1" outlineLevel="1"/>
    <col min="17" max="17" width="2.83203125" customWidth="1" collapsed="1"/>
    <col min="18" max="19" width="10.83203125" customWidth="1"/>
    <col min="20" max="20" width="2.83203125" customWidth="1"/>
    <col min="21" max="22" width="10.83203125" customWidth="1"/>
    <col min="23" max="23" width="10.83203125" hidden="1" customWidth="1" outlineLevel="1"/>
    <col min="24" max="24" width="10.6640625" customWidth="1" collapsed="1"/>
    <col min="25" max="25" width="10.6640625" customWidth="1"/>
    <col min="26" max="26" width="30.83203125" customWidth="1" outlineLevel="1"/>
    <col min="27" max="29" width="11.83203125" customWidth="1" outlineLevel="1"/>
    <col min="30" max="30" width="13.1640625" customWidth="1" outlineLevel="1"/>
    <col min="31" max="31" width="12" customWidth="1" outlineLevel="1"/>
    <col min="32" max="103" width="11.83203125" customWidth="1" outlineLevel="1"/>
  </cols>
  <sheetData>
    <row r="1" spans="2:103" ht="21">
      <c r="B1" s="31" t="str">
        <f>""&amp;Data!C3&amp;" - Comparable Companies Valuation"</f>
        <v>Serial Co. - Comparable Companies Valuation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2:103" ht="14.5" customHeight="1">
      <c r="B2" s="30"/>
    </row>
    <row r="3" spans="2:103">
      <c r="B3" t="s">
        <v>44</v>
      </c>
      <c r="C3" s="19">
        <v>45016</v>
      </c>
    </row>
    <row r="4" spans="2:103">
      <c r="B4" t="s">
        <v>45</v>
      </c>
      <c r="C4" s="19">
        <v>44926</v>
      </c>
    </row>
    <row r="5" spans="2:103">
      <c r="B5" t="s">
        <v>326</v>
      </c>
      <c r="C5" s="33" t="s">
        <v>150</v>
      </c>
    </row>
    <row r="6" spans="2:103">
      <c r="B6" s="43"/>
      <c r="C6" s="95"/>
    </row>
    <row r="7" spans="2:103" ht="19">
      <c r="B7" s="23" t="s">
        <v>147</v>
      </c>
      <c r="C7" s="14"/>
    </row>
    <row r="9" spans="2:103">
      <c r="B9" s="57"/>
      <c r="C9" s="58"/>
      <c r="D9" s="57"/>
      <c r="E9" s="59"/>
      <c r="F9" s="60" t="s">
        <v>114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57"/>
      <c r="R9" s="58" t="s">
        <v>115</v>
      </c>
      <c r="S9" s="58" t="s">
        <v>116</v>
      </c>
      <c r="T9" s="61"/>
      <c r="U9" s="60" t="s">
        <v>117</v>
      </c>
      <c r="V9" s="60"/>
      <c r="W9" s="60"/>
      <c r="Z9" s="43"/>
      <c r="AA9" s="43"/>
      <c r="AB9" s="43" t="s">
        <v>113</v>
      </c>
      <c r="AC9" s="43"/>
      <c r="AD9" s="43" t="s">
        <v>85</v>
      </c>
      <c r="AE9" s="43" t="s">
        <v>85</v>
      </c>
      <c r="AF9" s="43" t="s">
        <v>187</v>
      </c>
      <c r="AG9" s="43" t="s">
        <v>188</v>
      </c>
      <c r="AH9" s="43"/>
      <c r="AI9" s="43"/>
      <c r="AJ9" s="43" t="s">
        <v>190</v>
      </c>
      <c r="AK9" s="56"/>
      <c r="AL9" s="43"/>
      <c r="AM9" s="43"/>
      <c r="AN9" s="43"/>
      <c r="AO9" s="43"/>
      <c r="AP9" s="43"/>
      <c r="AQ9" s="43" t="s">
        <v>128</v>
      </c>
      <c r="AR9" s="43" t="s">
        <v>171</v>
      </c>
      <c r="AS9" s="44" t="s">
        <v>133</v>
      </c>
      <c r="AT9" s="44"/>
      <c r="AU9" s="44"/>
      <c r="AV9" s="44"/>
      <c r="AW9" s="44"/>
      <c r="AX9" s="44"/>
      <c r="AY9" s="45"/>
      <c r="AZ9" s="43" t="s">
        <v>135</v>
      </c>
      <c r="BA9" s="44" t="s">
        <v>134</v>
      </c>
      <c r="BB9" s="44"/>
      <c r="BC9" s="44"/>
      <c r="BD9" s="44"/>
      <c r="BE9" s="44"/>
      <c r="BF9" s="44"/>
      <c r="BG9" s="45"/>
      <c r="BH9" s="43" t="s">
        <v>113</v>
      </c>
      <c r="BI9" s="44" t="s">
        <v>177</v>
      </c>
      <c r="BJ9" s="44"/>
      <c r="BK9" s="44"/>
      <c r="BL9" s="44"/>
      <c r="BM9" s="44"/>
      <c r="BN9" s="44"/>
      <c r="BO9" s="45"/>
      <c r="BP9" s="44" t="s">
        <v>176</v>
      </c>
      <c r="BQ9" s="44"/>
      <c r="BR9" s="44"/>
      <c r="BS9" s="44"/>
      <c r="BT9" s="44"/>
      <c r="BU9" s="44"/>
      <c r="BV9" s="45"/>
      <c r="BW9" s="43" t="s">
        <v>139</v>
      </c>
      <c r="BX9" s="44" t="s">
        <v>131</v>
      </c>
      <c r="BY9" s="44"/>
      <c r="BZ9" s="44"/>
      <c r="CA9" s="44"/>
      <c r="CB9" s="45"/>
      <c r="CC9" s="43" t="s">
        <v>140</v>
      </c>
      <c r="CD9" s="44" t="s">
        <v>132</v>
      </c>
      <c r="CE9" s="44"/>
      <c r="CF9" s="44"/>
      <c r="CG9" s="44"/>
      <c r="CH9" s="45"/>
      <c r="CI9" s="43" t="s">
        <v>184</v>
      </c>
      <c r="CJ9" s="44" t="s">
        <v>185</v>
      </c>
      <c r="CK9" s="44"/>
      <c r="CL9" s="44"/>
      <c r="CM9" s="44"/>
      <c r="CN9" s="45"/>
      <c r="CO9" s="43" t="s">
        <v>183</v>
      </c>
      <c r="CP9" s="44" t="s">
        <v>181</v>
      </c>
      <c r="CQ9" s="44"/>
      <c r="CR9" s="44"/>
      <c r="CS9" s="44"/>
      <c r="CT9" s="45"/>
      <c r="CU9" s="43" t="s">
        <v>288</v>
      </c>
      <c r="CV9" s="44" t="s">
        <v>182</v>
      </c>
      <c r="CW9" s="44"/>
      <c r="CX9" s="44"/>
      <c r="CY9" s="44"/>
    </row>
    <row r="10" spans="2:103">
      <c r="B10" s="57"/>
      <c r="C10" s="58" t="s">
        <v>119</v>
      </c>
      <c r="D10" s="58" t="s">
        <v>120</v>
      </c>
      <c r="E10" s="59"/>
      <c r="F10" s="58" t="s">
        <v>115</v>
      </c>
      <c r="G10" s="58" t="s">
        <v>328</v>
      </c>
      <c r="H10" s="58" t="s">
        <v>126</v>
      </c>
      <c r="I10" s="58"/>
      <c r="J10" s="58" t="s">
        <v>115</v>
      </c>
      <c r="K10" s="58" t="s">
        <v>328</v>
      </c>
      <c r="L10" s="58" t="s">
        <v>125</v>
      </c>
      <c r="M10" s="58"/>
      <c r="N10" s="58" t="s">
        <v>115</v>
      </c>
      <c r="O10" s="58" t="s">
        <v>328</v>
      </c>
      <c r="P10" s="58" t="s">
        <v>126</v>
      </c>
      <c r="Q10" s="58"/>
      <c r="R10" s="62" t="s">
        <v>4</v>
      </c>
      <c r="S10" s="62" t="s">
        <v>121</v>
      </c>
      <c r="T10" s="58"/>
      <c r="U10" s="58" t="s">
        <v>115</v>
      </c>
      <c r="V10" s="58" t="s">
        <v>328</v>
      </c>
      <c r="W10" s="58" t="s">
        <v>126</v>
      </c>
      <c r="Z10" s="43"/>
      <c r="AA10" s="43"/>
      <c r="AB10" s="43" t="s">
        <v>118</v>
      </c>
      <c r="AC10" s="43" t="s">
        <v>175</v>
      </c>
      <c r="AD10" s="43" t="s">
        <v>194</v>
      </c>
      <c r="AE10" s="43" t="s">
        <v>186</v>
      </c>
      <c r="AF10" s="43" t="s">
        <v>86</v>
      </c>
      <c r="AG10" s="43" t="s">
        <v>192</v>
      </c>
      <c r="AH10" s="43" t="s">
        <v>86</v>
      </c>
      <c r="AI10" s="43" t="s">
        <v>189</v>
      </c>
      <c r="AJ10" s="43" t="s">
        <v>191</v>
      </c>
      <c r="AK10" s="44" t="s">
        <v>144</v>
      </c>
      <c r="AL10" s="44"/>
      <c r="AM10" s="44"/>
      <c r="AN10" s="44"/>
      <c r="AO10" s="44"/>
      <c r="AP10" s="53"/>
      <c r="AQ10" s="43" t="s">
        <v>129</v>
      </c>
      <c r="AR10" s="43" t="s">
        <v>128</v>
      </c>
      <c r="AS10" s="45"/>
      <c r="AT10" s="45"/>
      <c r="AU10" s="45"/>
      <c r="AV10" s="45"/>
      <c r="AW10" s="45"/>
      <c r="AX10" s="45"/>
      <c r="AY10" s="45"/>
      <c r="AZ10" s="43" t="s">
        <v>136</v>
      </c>
      <c r="BA10" s="45"/>
      <c r="BB10" s="45"/>
      <c r="BC10" s="45"/>
      <c r="BD10" s="45"/>
      <c r="BE10" s="45"/>
      <c r="BF10" s="45"/>
      <c r="BG10" s="45"/>
      <c r="BH10" s="43" t="s">
        <v>136</v>
      </c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3" t="s">
        <v>138</v>
      </c>
      <c r="BX10" s="45"/>
      <c r="BY10" s="45"/>
      <c r="BZ10" s="45"/>
      <c r="CA10" s="45"/>
      <c r="CB10" s="45"/>
      <c r="CC10" s="43" t="s">
        <v>138</v>
      </c>
      <c r="CD10" s="45"/>
      <c r="CE10" s="45"/>
      <c r="CF10" s="45"/>
      <c r="CG10" s="45"/>
      <c r="CH10" s="45"/>
      <c r="CI10" s="43" t="s">
        <v>138</v>
      </c>
      <c r="CJ10" s="45"/>
      <c r="CK10" s="45"/>
      <c r="CL10" s="45"/>
      <c r="CM10" s="45"/>
      <c r="CN10" s="45"/>
      <c r="CO10" s="43" t="s">
        <v>138</v>
      </c>
      <c r="CP10" s="45"/>
      <c r="CQ10" s="45"/>
      <c r="CR10" s="45"/>
      <c r="CS10" s="45"/>
      <c r="CT10" s="45"/>
      <c r="CU10" s="43" t="s">
        <v>138</v>
      </c>
      <c r="CV10" s="45"/>
      <c r="CW10" s="45"/>
      <c r="CX10" s="45"/>
      <c r="CY10" s="45"/>
    </row>
    <row r="11" spans="2:103">
      <c r="B11" s="63" t="s">
        <v>70</v>
      </c>
      <c r="C11" s="64" t="s">
        <v>127</v>
      </c>
      <c r="D11" s="64" t="s">
        <v>127</v>
      </c>
      <c r="E11" s="59"/>
      <c r="F11" s="64" t="s">
        <v>0</v>
      </c>
      <c r="G11" s="64" t="s">
        <v>0</v>
      </c>
      <c r="H11" s="64" t="s">
        <v>0</v>
      </c>
      <c r="I11" s="58"/>
      <c r="J11" s="64" t="s">
        <v>4</v>
      </c>
      <c r="K11" s="64" t="s">
        <v>4</v>
      </c>
      <c r="L11" s="64" t="s">
        <v>4</v>
      </c>
      <c r="M11" s="58"/>
      <c r="N11" s="64" t="s">
        <v>6</v>
      </c>
      <c r="O11" s="64" t="s">
        <v>6</v>
      </c>
      <c r="P11" s="64" t="s">
        <v>6</v>
      </c>
      <c r="Q11" s="58"/>
      <c r="R11" s="65" t="s">
        <v>124</v>
      </c>
      <c r="S11" s="65" t="s">
        <v>4</v>
      </c>
      <c r="T11" s="58"/>
      <c r="U11" s="64" t="s">
        <v>122</v>
      </c>
      <c r="V11" s="64" t="s">
        <v>122</v>
      </c>
      <c r="W11" s="64" t="s">
        <v>122</v>
      </c>
      <c r="Z11" s="104" t="s">
        <v>148</v>
      </c>
      <c r="AA11" s="104" t="s">
        <v>123</v>
      </c>
      <c r="AB11" s="47" t="s">
        <v>146</v>
      </c>
      <c r="AC11" s="47" t="s">
        <v>174</v>
      </c>
      <c r="AD11" s="47" t="s">
        <v>193</v>
      </c>
      <c r="AE11" s="47" t="s">
        <v>193</v>
      </c>
      <c r="AF11" s="47" t="s">
        <v>146</v>
      </c>
      <c r="AG11" s="47" t="s">
        <v>170</v>
      </c>
      <c r="AH11" s="47" t="s">
        <v>90</v>
      </c>
      <c r="AI11" s="47" t="s">
        <v>88</v>
      </c>
      <c r="AJ11" s="47" t="s">
        <v>170</v>
      </c>
      <c r="AK11" s="47" t="s">
        <v>145</v>
      </c>
      <c r="AL11" s="47" t="s">
        <v>141</v>
      </c>
      <c r="AM11" s="47" t="s">
        <v>142</v>
      </c>
      <c r="AN11" s="47" t="s">
        <v>143</v>
      </c>
      <c r="AO11" s="46" t="s">
        <v>144</v>
      </c>
      <c r="AP11" s="46"/>
      <c r="AQ11" s="47" t="s">
        <v>130</v>
      </c>
      <c r="AR11" s="47" t="s">
        <v>129</v>
      </c>
      <c r="AS11" s="47" t="s">
        <v>0</v>
      </c>
      <c r="AT11" s="47" t="s">
        <v>179</v>
      </c>
      <c r="AU11" s="47" t="s">
        <v>178</v>
      </c>
      <c r="AV11" s="47" t="s">
        <v>4</v>
      </c>
      <c r="AW11" s="47" t="s">
        <v>6</v>
      </c>
      <c r="AX11" s="47" t="s">
        <v>180</v>
      </c>
      <c r="AY11" s="47"/>
      <c r="AZ11" s="47" t="s">
        <v>137</v>
      </c>
      <c r="BA11" s="47" t="s">
        <v>0</v>
      </c>
      <c r="BB11" s="47" t="s">
        <v>179</v>
      </c>
      <c r="BC11" s="47" t="s">
        <v>178</v>
      </c>
      <c r="BD11" s="47" t="s">
        <v>4</v>
      </c>
      <c r="BE11" s="47" t="s">
        <v>6</v>
      </c>
      <c r="BF11" s="47" t="s">
        <v>180</v>
      </c>
      <c r="BG11" s="47"/>
      <c r="BH11" s="47" t="s">
        <v>137</v>
      </c>
      <c r="BI11" s="47" t="s">
        <v>0</v>
      </c>
      <c r="BJ11" s="47" t="s">
        <v>179</v>
      </c>
      <c r="BK11" s="47" t="s">
        <v>178</v>
      </c>
      <c r="BL11" s="47" t="s">
        <v>4</v>
      </c>
      <c r="BM11" s="47" t="s">
        <v>6</v>
      </c>
      <c r="BN11" s="47" t="s">
        <v>180</v>
      </c>
      <c r="BO11" s="47"/>
      <c r="BP11" s="47" t="s">
        <v>0</v>
      </c>
      <c r="BQ11" s="47" t="s">
        <v>179</v>
      </c>
      <c r="BR11" s="47" t="s">
        <v>178</v>
      </c>
      <c r="BS11" s="47" t="s">
        <v>4</v>
      </c>
      <c r="BT11" s="47" t="s">
        <v>6</v>
      </c>
      <c r="BU11" s="47" t="s">
        <v>180</v>
      </c>
      <c r="BV11" s="47"/>
      <c r="BW11" s="47" t="s">
        <v>137</v>
      </c>
      <c r="BX11" s="47" t="s">
        <v>0</v>
      </c>
      <c r="BY11" s="47" t="s">
        <v>4</v>
      </c>
      <c r="BZ11" s="47" t="s">
        <v>6</v>
      </c>
      <c r="CA11" s="47" t="s">
        <v>180</v>
      </c>
      <c r="CB11" s="47"/>
      <c r="CC11" s="47" t="s">
        <v>137</v>
      </c>
      <c r="CD11" s="47" t="s">
        <v>0</v>
      </c>
      <c r="CE11" s="47" t="s">
        <v>4</v>
      </c>
      <c r="CF11" s="47" t="s">
        <v>6</v>
      </c>
      <c r="CG11" s="47" t="s">
        <v>180</v>
      </c>
      <c r="CH11" s="47"/>
      <c r="CI11" s="47" t="s">
        <v>137</v>
      </c>
      <c r="CJ11" s="47" t="s">
        <v>0</v>
      </c>
      <c r="CK11" s="47" t="s">
        <v>4</v>
      </c>
      <c r="CL11" s="47" t="s">
        <v>6</v>
      </c>
      <c r="CM11" s="47" t="s">
        <v>180</v>
      </c>
      <c r="CN11" s="47"/>
      <c r="CO11" s="47" t="s">
        <v>137</v>
      </c>
      <c r="CP11" s="47" t="s">
        <v>0</v>
      </c>
      <c r="CQ11" s="47" t="s">
        <v>4</v>
      </c>
      <c r="CR11" s="47" t="s">
        <v>6</v>
      </c>
      <c r="CS11" s="47" t="s">
        <v>180</v>
      </c>
      <c r="CT11" s="47"/>
      <c r="CU11" s="47" t="s">
        <v>137</v>
      </c>
      <c r="CV11" s="47" t="s">
        <v>0</v>
      </c>
      <c r="CW11" s="47" t="s">
        <v>4</v>
      </c>
      <c r="CX11" s="47" t="s">
        <v>6</v>
      </c>
      <c r="CY11" s="47" t="s">
        <v>180</v>
      </c>
    </row>
    <row r="12" spans="2:103">
      <c r="B12" s="6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AB12" s="48"/>
      <c r="AC12" s="48"/>
      <c r="AD12" s="49"/>
      <c r="AE12" s="49"/>
      <c r="AF12" s="49"/>
      <c r="AG12" s="49"/>
      <c r="AH12" s="49"/>
      <c r="AI12" s="49"/>
      <c r="AJ12" s="49"/>
      <c r="AO12" s="50"/>
      <c r="AP12" s="50"/>
      <c r="AR12" s="35"/>
      <c r="AZ12" s="35"/>
      <c r="BH12" s="35"/>
      <c r="BW12" s="35"/>
      <c r="CC12" s="35"/>
      <c r="CI12" s="35"/>
      <c r="CO12" s="35"/>
      <c r="CU12" s="35"/>
    </row>
    <row r="13" spans="2:103">
      <c r="B13" s="67" t="str">
        <f>Z13</f>
        <v>Conagra Brands, Inc.</v>
      </c>
      <c r="C13" s="68">
        <f>IF($C$5="Yes",AB13*AJ13,AB13*AD13)</f>
        <v>17153.547135959998</v>
      </c>
      <c r="D13" s="68">
        <f t="shared" ref="D13:D21" si="0">C13+AO13</f>
        <v>26835.547135959998</v>
      </c>
      <c r="E13" s="67"/>
      <c r="F13" s="69">
        <f t="shared" ref="F13:F21" si="1">IF(ISERROR($D13/BP13),"NA",$D13/BP13)</f>
        <v>2.2286994440581682</v>
      </c>
      <c r="G13" s="69">
        <f t="shared" ref="G13:G21" si="2">IF(ISERROR($D13/CP13),"NA",$D13/CP13)</f>
        <v>2.144699071804995</v>
      </c>
      <c r="H13" s="69" t="str">
        <f t="shared" ref="H13:H21" si="3">IF(ISERROR($D13/CV13),"NA",$D13/CV13)</f>
        <v>NA</v>
      </c>
      <c r="I13" s="69"/>
      <c r="J13" s="69">
        <f t="shared" ref="J13:J21" si="4">IF(ISERROR($D13/BS13),"NA",IF(BS13&gt;0,$D13/BS13,"NM"))</f>
        <v>12.72912775636089</v>
      </c>
      <c r="K13" s="69">
        <f>IF(ISERROR($D13/CQ13),"NA",IF(CQ13&gt;0,$D13/CQ13,"NM"))</f>
        <v>11.305018667768522</v>
      </c>
      <c r="L13" s="69" t="str">
        <f t="shared" ref="L13:L21" si="5">IF(ISERROR($D13/CW13),"NA",IF(CW13&gt;0,$D13/CW13,"NM"))</f>
        <v>NA</v>
      </c>
      <c r="M13" s="69"/>
      <c r="N13" s="69">
        <f t="shared" ref="N13:N21" si="6">IF(ISERROR($D13/BT13),"NA",IF(BT13&gt;0,$D13/BT13,"NM"))</f>
        <v>15.415640588212337</v>
      </c>
      <c r="O13" s="69">
        <f t="shared" ref="O13:O21" si="7">IF(ISERROR($D13/CR13),"NA",IF(CR13&gt;0,$D13/CR13,"NM"))</f>
        <v>13.925307510138579</v>
      </c>
      <c r="P13" s="69" t="str">
        <f t="shared" ref="P13:P21" si="8">IF(ISERROR($D13/CX13),"NA",IF(CX13&gt;0,$D13/CX13,"NM"))</f>
        <v>NA</v>
      </c>
      <c r="Q13" s="69"/>
      <c r="R13" s="70">
        <f>IF(ISERROR(BS13/BP13),"NA",BS13/BP13)</f>
        <v>0.17508657990681739</v>
      </c>
      <c r="S13" s="71">
        <f t="shared" ref="S13:S21" si="9">IF(ISERROR(AK13/BS13),"NA",AK13/BS13)</f>
        <v>4.5775068779053267</v>
      </c>
      <c r="T13" s="69"/>
      <c r="U13" s="69">
        <f t="shared" ref="U13:U21" si="10">IF(ISERROR($AB13/BU13),"NA",IF(BU13&gt;0,$AB13/BU13,"NM"))</f>
        <v>25.503546099290777</v>
      </c>
      <c r="V13" s="69">
        <f t="shared" ref="V13:V21" si="11">IF(ISERROR($AB13/CS13),"NA",IF(CS13&gt;0,$AB13/CS13,"NM"))</f>
        <v>13.15609756097561</v>
      </c>
      <c r="W13" s="69" t="str">
        <f t="shared" ref="W13:W22" si="12">IF(ISERROR($AB13/CY13),"NA",IF(CY13&gt;0,$AB13/CY13,"NM"))</f>
        <v>NA</v>
      </c>
      <c r="Z13" s="36" t="s">
        <v>154</v>
      </c>
      <c r="AA13" s="36" t="s">
        <v>152</v>
      </c>
      <c r="AB13" s="37">
        <v>35.96</v>
      </c>
      <c r="AC13" s="34">
        <v>44892</v>
      </c>
      <c r="AD13" s="54">
        <v>476.622501</v>
      </c>
      <c r="AE13" s="54">
        <v>2.7</v>
      </c>
      <c r="AF13" s="37">
        <v>30.7</v>
      </c>
      <c r="AG13" s="94">
        <f t="shared" ref="AG13:AG20" si="13">IF(ISERROR(IF(AF13&lt;AB13,AE13,0)),0,IF(AF13&lt;AB13,AE13,0))</f>
        <v>2.7</v>
      </c>
      <c r="AH13" s="93">
        <f>AG13*AF13</f>
        <v>82.89</v>
      </c>
      <c r="AI13" s="93">
        <f t="shared" ref="AI13:AI20" si="14">+IF(ISERROR(0-AH13/AB13),0,-AH13/AB13)</f>
        <v>-2.3050611790878754</v>
      </c>
      <c r="AJ13" s="93">
        <f t="shared" ref="AJ13:AJ20" si="15">AD13+AG13+AI13</f>
        <v>477.0174398209121</v>
      </c>
      <c r="AK13" s="39">
        <f>365.5+954.3+7963+118.8+248.7</f>
        <v>9650.2999999999993</v>
      </c>
      <c r="AL13" s="39">
        <v>71.400000000000006</v>
      </c>
      <c r="AM13" s="39">
        <v>0</v>
      </c>
      <c r="AN13" s="39">
        <f>39.7</f>
        <v>39.700000000000003</v>
      </c>
      <c r="AO13" s="50">
        <f t="shared" ref="AO13:AO20" si="16">AK13+AL13+AM13-AN13</f>
        <v>9681.9999999999982</v>
      </c>
      <c r="AP13" s="50"/>
      <c r="AQ13" s="86">
        <f>MONTH(AR13)</f>
        <v>5</v>
      </c>
      <c r="AR13" s="34">
        <v>44710</v>
      </c>
      <c r="AS13" s="39">
        <v>11535.9</v>
      </c>
      <c r="AT13" s="39">
        <f>8697.1+(1492.8-209-70.1-49)-67.3</f>
        <v>9794.5000000000018</v>
      </c>
      <c r="AU13" s="39">
        <v>375.4</v>
      </c>
      <c r="AV13" s="50">
        <f>AS13-AT13+AU13</f>
        <v>2116.7999999999979</v>
      </c>
      <c r="AW13" s="50">
        <f>AV13-AU13</f>
        <v>1741.3999999999978</v>
      </c>
      <c r="AX13" s="36">
        <v>1.84</v>
      </c>
      <c r="AZ13" s="34">
        <v>44528</v>
      </c>
      <c r="BA13" s="39">
        <v>5712.2</v>
      </c>
      <c r="BB13" s="39">
        <f>4284+(655.5-39.2-28.2)-32.2</f>
        <v>4839.9000000000005</v>
      </c>
      <c r="BC13" s="39">
        <v>193.5</v>
      </c>
      <c r="BD13" s="50">
        <f>BA13-BB13+BC13</f>
        <v>1065.7999999999993</v>
      </c>
      <c r="BE13" s="50">
        <f>BD13-BC13</f>
        <v>872.29999999999927</v>
      </c>
      <c r="BF13" s="40">
        <v>1.06</v>
      </c>
      <c r="BH13" s="34">
        <v>44892</v>
      </c>
      <c r="BI13" s="39">
        <v>6217.2</v>
      </c>
      <c r="BJ13" s="39">
        <f>4574.6+(1143.3-326.8-26.7-6.7)-12.2</f>
        <v>5345.5000000000009</v>
      </c>
      <c r="BK13" s="39">
        <v>185.5</v>
      </c>
      <c r="BL13" s="50">
        <f>BI13-BJ13+BK13</f>
        <v>1057.1999999999989</v>
      </c>
      <c r="BM13" s="50">
        <f>BL13-BK13</f>
        <v>871.69999999999891</v>
      </c>
      <c r="BN13" s="40">
        <v>0.63</v>
      </c>
      <c r="BP13" s="41">
        <f t="shared" ref="BP13:BP20" si="17">AS13-BA13+BI13</f>
        <v>12040.9</v>
      </c>
      <c r="BQ13" s="41">
        <f t="shared" ref="BQ13:BQ20" si="18">AT13-BB13+BJ13</f>
        <v>10300.100000000002</v>
      </c>
      <c r="BR13" s="41">
        <f t="shared" ref="BR13:BR20" si="19">AU13-BC13+BK13</f>
        <v>367.4</v>
      </c>
      <c r="BS13" s="41">
        <f t="shared" ref="BS13:BS20" si="20">AV13-BD13+BL13</f>
        <v>2108.1999999999975</v>
      </c>
      <c r="BT13" s="41">
        <f t="shared" ref="BT13:BT20" si="21">AW13-BE13+BM13</f>
        <v>1740.7999999999975</v>
      </c>
      <c r="BU13" s="42">
        <f t="shared" ref="BU13:BU20" si="22">AX13-BF13+BN13</f>
        <v>1.4100000000000001</v>
      </c>
      <c r="BW13" s="81">
        <v>45075</v>
      </c>
      <c r="BX13" s="39">
        <v>12215</v>
      </c>
      <c r="BY13" s="39">
        <f>BX13*0.182</f>
        <v>2223.13</v>
      </c>
      <c r="BZ13" s="39">
        <f>BY13-435</f>
        <v>1788.13</v>
      </c>
      <c r="CA13" s="40">
        <v>2.5</v>
      </c>
      <c r="CC13" s="81">
        <f>BW13+365</f>
        <v>45440</v>
      </c>
      <c r="CD13" s="39">
        <v>12725</v>
      </c>
      <c r="CE13" s="39">
        <f>CD13*0.195</f>
        <v>2481.375</v>
      </c>
      <c r="CF13" s="39">
        <f>CE13-455</f>
        <v>2026.375</v>
      </c>
      <c r="CG13" s="40">
        <v>2.9</v>
      </c>
      <c r="CI13" s="81">
        <f>CC13+365</f>
        <v>45805</v>
      </c>
      <c r="CJ13" s="39"/>
      <c r="CK13" s="39"/>
      <c r="CL13" s="39"/>
      <c r="CM13" s="40"/>
      <c r="CO13" s="81">
        <v>45291</v>
      </c>
      <c r="CP13" s="41">
        <f>IF(AND(NOT(ISBLANK(BX13)),NOT(ISBLANK(CD13))),($AQ13/12)*BX13+((12-$AQ13)/12)*CD13,"")</f>
        <v>12512.5</v>
      </c>
      <c r="CQ13" s="41">
        <f t="shared" ref="CQ13:CS13" si="23">IF(AND(NOT(ISBLANK(BY13)),NOT(ISBLANK(CE13))),($AQ13/12)*BY13+((12-$AQ13)/12)*CE13,"")</f>
        <v>2373.7729166666668</v>
      </c>
      <c r="CR13" s="41">
        <f t="shared" si="23"/>
        <v>1927.1062500000003</v>
      </c>
      <c r="CS13" s="42">
        <f t="shared" si="23"/>
        <v>2.7333333333333334</v>
      </c>
      <c r="CU13" s="81">
        <v>45657</v>
      </c>
      <c r="CV13" s="41" t="str">
        <f>IF(AND(NOT(ISBLANK(CD13)),NOT(ISBLANK(CJ13))),($AQ13/12)*CD13+((12-$AQ13)/12)*CJ13,"")</f>
        <v/>
      </c>
      <c r="CW13" s="41" t="str">
        <f t="shared" ref="CW13:CW20" si="24">IF(AND(NOT(ISBLANK(CE13)),NOT(ISBLANK(CK13))),($AQ13/12)*CE13+((12-$AQ13)/12)*CK13,"")</f>
        <v/>
      </c>
      <c r="CX13" s="41" t="str">
        <f t="shared" ref="CX13:CX20" si="25">IF(AND(NOT(ISBLANK(CF13)),NOT(ISBLANK(CL13))),($AQ13/12)*CF13+((12-$AQ13)/12)*CL13,"")</f>
        <v/>
      </c>
      <c r="CY13" s="42" t="str">
        <f t="shared" ref="CY13:CY20" si="26">IF(AND(NOT(ISBLANK(CG13)),NOT(ISBLANK(CM13))),($AQ13/12)*CG13+((12-$AQ13)/12)*CM13,"")</f>
        <v/>
      </c>
    </row>
    <row r="14" spans="2:103">
      <c r="B14" s="67" t="str">
        <f t="shared" ref="B14:B20" si="27">Z14</f>
        <v>General Mills, Inc.</v>
      </c>
      <c r="C14" s="68">
        <f t="shared" ref="C14:C21" si="28">IF($C$5="Yes",AB14*AJ14,AB14*AD14)</f>
        <v>44962.477630579997</v>
      </c>
      <c r="D14" s="68">
        <f t="shared" si="0"/>
        <v>56309.477630579997</v>
      </c>
      <c r="E14" s="67"/>
      <c r="F14" s="69">
        <f t="shared" si="1"/>
        <v>2.9074661092248753</v>
      </c>
      <c r="G14" s="69">
        <f t="shared" si="2"/>
        <v>2.7454087620800811</v>
      </c>
      <c r="H14" s="69" t="str">
        <f t="shared" si="3"/>
        <v>NA</v>
      </c>
      <c r="I14" s="69"/>
      <c r="J14" s="69">
        <f t="shared" si="4"/>
        <v>15.4811199600198</v>
      </c>
      <c r="K14" s="69">
        <f t="shared" ref="K14:K21" si="29">IF(ISERROR($D14/CQ14),"NA",IF(CQ14&gt;0,$D14/CQ14,"NM"))</f>
        <v>13.329001510345396</v>
      </c>
      <c r="L14" s="69" t="str">
        <f t="shared" si="5"/>
        <v>NA</v>
      </c>
      <c r="M14" s="69"/>
      <c r="N14" s="69">
        <f t="shared" si="6"/>
        <v>18.282297932006504</v>
      </c>
      <c r="O14" s="69">
        <f t="shared" si="7"/>
        <v>15.562269266857665</v>
      </c>
      <c r="P14" s="69" t="str">
        <f t="shared" si="8"/>
        <v>NA</v>
      </c>
      <c r="Q14" s="69"/>
      <c r="R14" s="70">
        <f t="shared" ref="R14:R21" si="30">IF(ISERROR(BS14/BP14),"NA",BS14/BP14)</f>
        <v>0.18780722045520257</v>
      </c>
      <c r="S14" s="71">
        <f t="shared" si="9"/>
        <v>3.2277238611057668</v>
      </c>
      <c r="T14" s="69"/>
      <c r="U14" s="69">
        <f t="shared" si="10"/>
        <v>15.812108559498958</v>
      </c>
      <c r="V14" s="69">
        <f t="shared" si="11"/>
        <v>16.83111111111111</v>
      </c>
      <c r="W14" s="69" t="str">
        <f t="shared" si="12"/>
        <v>NA</v>
      </c>
      <c r="Z14" s="36" t="s">
        <v>153</v>
      </c>
      <c r="AA14" s="36" t="s">
        <v>155</v>
      </c>
      <c r="AB14" s="37">
        <v>75.739999999999995</v>
      </c>
      <c r="AC14" s="34">
        <v>44892</v>
      </c>
      <c r="AD14" s="54">
        <v>589.61071700000002</v>
      </c>
      <c r="AE14" s="54">
        <v>15.0055</v>
      </c>
      <c r="AF14" s="54">
        <v>55.39</v>
      </c>
      <c r="AG14" s="92">
        <f t="shared" si="13"/>
        <v>15.0055</v>
      </c>
      <c r="AH14" s="93">
        <f t="shared" ref="AH14:AH20" si="31">AG14*AF14</f>
        <v>831.15464499999996</v>
      </c>
      <c r="AI14" s="93">
        <f t="shared" si="14"/>
        <v>-10.973787232637973</v>
      </c>
      <c r="AJ14" s="93">
        <f t="shared" si="15"/>
        <v>593.64242976736205</v>
      </c>
      <c r="AK14" s="39">
        <f>1964.3+1153.4+8622.5</f>
        <v>11740.2</v>
      </c>
      <c r="AL14" s="39">
        <v>250.9</v>
      </c>
      <c r="AM14" s="39">
        <v>0</v>
      </c>
      <c r="AN14" s="39">
        <v>644.1</v>
      </c>
      <c r="AO14" s="50">
        <f t="shared" si="16"/>
        <v>11347</v>
      </c>
      <c r="AP14" s="50"/>
      <c r="AQ14" s="86">
        <f t="shared" ref="AQ14:AQ20" si="32">MONTH(AR14)</f>
        <v>5</v>
      </c>
      <c r="AR14" s="34">
        <v>44710</v>
      </c>
      <c r="AS14" s="39">
        <v>18992.8</v>
      </c>
      <c r="AT14" s="39">
        <f>12590.6+3147</f>
        <v>15737.6</v>
      </c>
      <c r="AU14" s="39">
        <v>570.29999999999995</v>
      </c>
      <c r="AV14" s="50">
        <f t="shared" ref="AV14:AV20" si="33">AS14-AT14+AU14</f>
        <v>3825.4999999999991</v>
      </c>
      <c r="AW14" s="50">
        <f t="shared" ref="AW14:AW20" si="34">AV14-AU14</f>
        <v>3255.1999999999989</v>
      </c>
      <c r="AX14" s="36">
        <v>4.42</v>
      </c>
      <c r="AZ14" s="34">
        <v>44528</v>
      </c>
      <c r="BA14" s="39">
        <v>9563.9</v>
      </c>
      <c r="BB14" s="39">
        <f>6335.3+1586.2</f>
        <v>7921.5</v>
      </c>
      <c r="BC14" s="39">
        <v>286.89999999999998</v>
      </c>
      <c r="BD14" s="50">
        <f t="shared" ref="BD14:BD20" si="35">BA14-BB14+BC14</f>
        <v>1929.2999999999997</v>
      </c>
      <c r="BE14" s="50">
        <f t="shared" ref="BE14:BE20" si="36">BD14-BC14</f>
        <v>1642.3999999999996</v>
      </c>
      <c r="BF14" s="40">
        <v>1.99</v>
      </c>
      <c r="BH14" s="34">
        <v>44892</v>
      </c>
      <c r="BI14" s="39">
        <v>9938.2999999999993</v>
      </c>
      <c r="BJ14" s="39">
        <f>6785.5+1685.6</f>
        <v>8471.1</v>
      </c>
      <c r="BK14" s="39">
        <v>273.89999999999998</v>
      </c>
      <c r="BL14" s="50">
        <f t="shared" ref="BL14:BL20" si="37">BI14-BJ14+BK14</f>
        <v>1741.099999999999</v>
      </c>
      <c r="BM14" s="50">
        <f t="shared" ref="BM14:BM20" si="38">BL14-BK14</f>
        <v>1467.1999999999989</v>
      </c>
      <c r="BN14" s="40">
        <v>2.36</v>
      </c>
      <c r="BP14" s="41">
        <f t="shared" si="17"/>
        <v>19367.199999999997</v>
      </c>
      <c r="BQ14" s="41">
        <f t="shared" si="18"/>
        <v>16287.2</v>
      </c>
      <c r="BR14" s="41">
        <f t="shared" si="19"/>
        <v>557.29999999999995</v>
      </c>
      <c r="BS14" s="41">
        <f t="shared" si="20"/>
        <v>3637.2999999999984</v>
      </c>
      <c r="BT14" s="41">
        <f t="shared" si="21"/>
        <v>3079.9999999999982</v>
      </c>
      <c r="BU14" s="42">
        <f t="shared" si="22"/>
        <v>4.7899999999999991</v>
      </c>
      <c r="BW14" s="81">
        <v>45075</v>
      </c>
      <c r="BX14" s="39">
        <v>19825</v>
      </c>
      <c r="BY14" s="39">
        <f>BX14*0.2</f>
        <v>3965</v>
      </c>
      <c r="BZ14" s="39">
        <f>BY14-580</f>
        <v>3385</v>
      </c>
      <c r="CA14" s="40">
        <v>4.1500000000000004</v>
      </c>
      <c r="CC14" s="81">
        <f t="shared" ref="CC14:CC20" si="39">BW14+365</f>
        <v>45440</v>
      </c>
      <c r="CD14" s="39">
        <v>21000</v>
      </c>
      <c r="CE14" s="39">
        <f>CD14*0.21</f>
        <v>4410</v>
      </c>
      <c r="CF14" s="39">
        <f>CE14-625</f>
        <v>3785</v>
      </c>
      <c r="CG14" s="40">
        <v>4.75</v>
      </c>
      <c r="CI14" s="81">
        <f t="shared" ref="CI14:CI20" si="40">CC14+365</f>
        <v>45805</v>
      </c>
      <c r="CJ14" s="39"/>
      <c r="CK14" s="39"/>
      <c r="CL14" s="39"/>
      <c r="CM14" s="40"/>
      <c r="CO14" s="81">
        <v>45291</v>
      </c>
      <c r="CP14" s="41">
        <f t="shared" ref="CP14:CP20" si="41">IF(AND(NOT(ISBLANK(BX14)),NOT(ISBLANK(CD14))),($AQ14/12)*BX14+((12-$AQ14)/12)*CD14,"")</f>
        <v>20510.416666666668</v>
      </c>
      <c r="CQ14" s="41">
        <f t="shared" ref="CQ14:CQ20" si="42">IF(AND(NOT(ISBLANK(BY14)),NOT(ISBLANK(CE14))),($AQ14/12)*BY14+((12-$AQ14)/12)*CE14,"")</f>
        <v>4224.5833333333339</v>
      </c>
      <c r="CR14" s="41">
        <f t="shared" ref="CR14:CR20" si="43">IF(AND(NOT(ISBLANK(BZ14)),NOT(ISBLANK(CF14))),($AQ14/12)*BZ14+((12-$AQ14)/12)*CF14,"")</f>
        <v>3618.3333333333339</v>
      </c>
      <c r="CS14" s="42">
        <f t="shared" ref="CS14:CS20" si="44">IF(AND(NOT(ISBLANK(CA14)),NOT(ISBLANK(CG14))),($AQ14/12)*CA14+((12-$AQ14)/12)*CG14,"")</f>
        <v>4.5</v>
      </c>
      <c r="CU14" s="81">
        <v>45657</v>
      </c>
      <c r="CV14" s="41" t="str">
        <f t="shared" ref="CV14:CV20" si="45">IF(AND(NOT(ISBLANK(CD14)),NOT(ISBLANK(CJ14))),($AQ14/12)*CD14+((12-$AQ14)/12)*CJ14,"")</f>
        <v/>
      </c>
      <c r="CW14" s="41" t="str">
        <f t="shared" si="24"/>
        <v/>
      </c>
      <c r="CX14" s="41" t="str">
        <f t="shared" si="25"/>
        <v/>
      </c>
      <c r="CY14" s="42" t="str">
        <f t="shared" si="26"/>
        <v/>
      </c>
    </row>
    <row r="15" spans="2:103">
      <c r="B15" s="67" t="str">
        <f t="shared" si="27"/>
        <v>The Kraft Heinz Company</v>
      </c>
      <c r="C15" s="68">
        <f t="shared" si="28"/>
        <v>47858.021507480007</v>
      </c>
      <c r="D15" s="68">
        <f t="shared" si="0"/>
        <v>67126.021507480007</v>
      </c>
      <c r="E15" s="67"/>
      <c r="F15" s="69">
        <f t="shared" si="1"/>
        <v>2.6004734632735444</v>
      </c>
      <c r="G15" s="69">
        <f t="shared" si="2"/>
        <v>2.5330574153766041</v>
      </c>
      <c r="H15" s="69" t="str">
        <f t="shared" si="3"/>
        <v>NA</v>
      </c>
      <c r="I15" s="69"/>
      <c r="J15" s="69">
        <f t="shared" si="4"/>
        <v>12.182581035840292</v>
      </c>
      <c r="K15" s="69">
        <f t="shared" si="29"/>
        <v>10.778967725006826</v>
      </c>
      <c r="L15" s="69" t="str">
        <f t="shared" si="5"/>
        <v>NA</v>
      </c>
      <c r="M15" s="69"/>
      <c r="N15" s="69">
        <f t="shared" si="6"/>
        <v>14.618036042569688</v>
      </c>
      <c r="O15" s="69">
        <f t="shared" si="7"/>
        <v>12.64738982712765</v>
      </c>
      <c r="P15" s="69" t="str">
        <f t="shared" si="8"/>
        <v>NA</v>
      </c>
      <c r="Q15" s="69"/>
      <c r="R15" s="70">
        <f t="shared" si="30"/>
        <v>0.21345833494750707</v>
      </c>
      <c r="S15" s="71">
        <f t="shared" si="9"/>
        <v>3.6424682395644283</v>
      </c>
      <c r="T15" s="69"/>
      <c r="U15" s="69">
        <f t="shared" si="10"/>
        <v>39.867346938775519</v>
      </c>
      <c r="V15" s="69">
        <f t="shared" si="11"/>
        <v>14.207272727272727</v>
      </c>
      <c r="W15" s="69" t="str">
        <f t="shared" si="12"/>
        <v>NA</v>
      </c>
      <c r="Z15" s="36" t="s">
        <v>156</v>
      </c>
      <c r="AA15" s="36" t="s">
        <v>157</v>
      </c>
      <c r="AB15" s="37">
        <v>39.07</v>
      </c>
      <c r="AC15" s="34">
        <v>44828</v>
      </c>
      <c r="AD15" s="54">
        <v>1224.9301640000001</v>
      </c>
      <c r="AE15" s="54">
        <v>11.778067999999999</v>
      </c>
      <c r="AF15" s="54">
        <v>45.43</v>
      </c>
      <c r="AG15" s="92">
        <f t="shared" si="13"/>
        <v>0</v>
      </c>
      <c r="AH15" s="93">
        <f t="shared" si="31"/>
        <v>0</v>
      </c>
      <c r="AI15" s="93">
        <f t="shared" si="14"/>
        <v>0</v>
      </c>
      <c r="AJ15" s="93">
        <f t="shared" si="15"/>
        <v>1224.9301640000001</v>
      </c>
      <c r="AK15" s="39">
        <f>4+770+19296</f>
        <v>20070</v>
      </c>
      <c r="AL15" s="39">
        <f>158+37</f>
        <v>195</v>
      </c>
      <c r="AM15" s="39">
        <v>0</v>
      </c>
      <c r="AN15" s="39">
        <v>997</v>
      </c>
      <c r="AO15" s="50">
        <f t="shared" si="16"/>
        <v>19268</v>
      </c>
      <c r="AP15" s="50"/>
      <c r="AQ15" s="86">
        <f t="shared" si="32"/>
        <v>12</v>
      </c>
      <c r="AR15" s="34">
        <v>44555</v>
      </c>
      <c r="AS15" s="39">
        <v>26042</v>
      </c>
      <c r="AT15" s="39">
        <f>17360+3588</f>
        <v>20948</v>
      </c>
      <c r="AU15" s="39">
        <v>910</v>
      </c>
      <c r="AV15" s="50">
        <f t="shared" si="33"/>
        <v>6004</v>
      </c>
      <c r="AW15" s="50">
        <f t="shared" si="34"/>
        <v>5094</v>
      </c>
      <c r="AX15" s="36">
        <v>0.82</v>
      </c>
      <c r="AZ15" s="34">
        <v>44464</v>
      </c>
      <c r="BA15" s="39">
        <v>19333</v>
      </c>
      <c r="BB15" s="39">
        <f>12813+2697</f>
        <v>15510</v>
      </c>
      <c r="BC15" s="39">
        <v>677</v>
      </c>
      <c r="BD15" s="50">
        <f t="shared" si="35"/>
        <v>4500</v>
      </c>
      <c r="BE15" s="50">
        <f t="shared" si="36"/>
        <v>3823</v>
      </c>
      <c r="BF15" s="40">
        <v>1.03</v>
      </c>
      <c r="BH15" s="34">
        <v>44828</v>
      </c>
      <c r="BI15" s="39">
        <v>19104</v>
      </c>
      <c r="BJ15" s="39">
        <f>13346+2437</f>
        <v>15783</v>
      </c>
      <c r="BK15" s="39">
        <v>685</v>
      </c>
      <c r="BL15" s="50">
        <f t="shared" si="37"/>
        <v>4006</v>
      </c>
      <c r="BM15" s="50">
        <f t="shared" si="38"/>
        <v>3321</v>
      </c>
      <c r="BN15" s="40">
        <v>1.19</v>
      </c>
      <c r="BP15" s="41">
        <f t="shared" si="17"/>
        <v>25813</v>
      </c>
      <c r="BQ15" s="41">
        <f t="shared" si="18"/>
        <v>21221</v>
      </c>
      <c r="BR15" s="41">
        <f t="shared" si="19"/>
        <v>918</v>
      </c>
      <c r="BS15" s="41">
        <f t="shared" si="20"/>
        <v>5510</v>
      </c>
      <c r="BT15" s="41">
        <f t="shared" si="21"/>
        <v>4592</v>
      </c>
      <c r="BU15" s="42">
        <f t="shared" si="22"/>
        <v>0.97999999999999987</v>
      </c>
      <c r="BW15" s="81">
        <v>45285</v>
      </c>
      <c r="BX15" s="39">
        <v>26500</v>
      </c>
      <c r="BY15" s="39">
        <f>BX15*0.235</f>
        <v>6227.5</v>
      </c>
      <c r="BZ15" s="39">
        <f>BY15-920</f>
        <v>5307.5</v>
      </c>
      <c r="CA15" s="40">
        <v>2.75</v>
      </c>
      <c r="CC15" s="81">
        <f t="shared" si="39"/>
        <v>45650</v>
      </c>
      <c r="CD15" s="39">
        <v>28750</v>
      </c>
      <c r="CE15" s="39">
        <f>CD15*0.26</f>
        <v>7475</v>
      </c>
      <c r="CF15" s="39">
        <f>CE15-940</f>
        <v>6535</v>
      </c>
      <c r="CG15" s="40">
        <v>3.65</v>
      </c>
      <c r="CI15" s="81">
        <f t="shared" si="40"/>
        <v>46015</v>
      </c>
      <c r="CJ15" s="39"/>
      <c r="CK15" s="39"/>
      <c r="CL15" s="39"/>
      <c r="CM15" s="40"/>
      <c r="CO15" s="81">
        <v>45291</v>
      </c>
      <c r="CP15" s="41">
        <f t="shared" si="41"/>
        <v>26500</v>
      </c>
      <c r="CQ15" s="41">
        <f t="shared" si="42"/>
        <v>6227.5</v>
      </c>
      <c r="CR15" s="41">
        <f t="shared" si="43"/>
        <v>5307.5</v>
      </c>
      <c r="CS15" s="42">
        <f t="shared" si="44"/>
        <v>2.75</v>
      </c>
      <c r="CU15" s="81">
        <v>45657</v>
      </c>
      <c r="CV15" s="41" t="str">
        <f t="shared" si="45"/>
        <v/>
      </c>
      <c r="CW15" s="41" t="str">
        <f t="shared" si="24"/>
        <v/>
      </c>
      <c r="CX15" s="41" t="str">
        <f t="shared" si="25"/>
        <v/>
      </c>
      <c r="CY15" s="42" t="str">
        <f t="shared" si="26"/>
        <v/>
      </c>
    </row>
    <row r="16" spans="2:103">
      <c r="B16" s="67" t="str">
        <f t="shared" si="27"/>
        <v>The Campbell Soup Company</v>
      </c>
      <c r="C16" s="68">
        <f t="shared" si="28"/>
        <v>15131.904247640001</v>
      </c>
      <c r="D16" s="68">
        <f t="shared" si="0"/>
        <v>19855.904247639999</v>
      </c>
      <c r="E16" s="67"/>
      <c r="F16" s="69">
        <f t="shared" si="1"/>
        <v>2.23074983121447</v>
      </c>
      <c r="G16" s="69">
        <f t="shared" si="2"/>
        <v>2.1165520850249164</v>
      </c>
      <c r="H16" s="69" t="str">
        <f t="shared" si="3"/>
        <v>NA</v>
      </c>
      <c r="I16" s="69"/>
      <c r="J16" s="69">
        <f t="shared" si="4"/>
        <v>12.622952477838524</v>
      </c>
      <c r="K16" s="69">
        <f t="shared" si="29"/>
        <v>10.227917774809329</v>
      </c>
      <c r="L16" s="69" t="str">
        <f t="shared" si="5"/>
        <v>NA</v>
      </c>
      <c r="M16" s="69"/>
      <c r="N16" s="69">
        <f t="shared" si="6"/>
        <v>16.16930313325733</v>
      </c>
      <c r="O16" s="69">
        <f t="shared" si="7"/>
        <v>12.781999529088505</v>
      </c>
      <c r="P16" s="69" t="str">
        <f t="shared" si="8"/>
        <v>NA</v>
      </c>
      <c r="Q16" s="69"/>
      <c r="R16" s="70">
        <f t="shared" si="30"/>
        <v>0.17672171666104933</v>
      </c>
      <c r="S16" s="71">
        <f t="shared" si="9"/>
        <v>3.084551811824539</v>
      </c>
      <c r="T16" s="69"/>
      <c r="U16" s="69">
        <f t="shared" si="10"/>
        <v>19.132575757575758</v>
      </c>
      <c r="V16" s="69">
        <f t="shared" si="11"/>
        <v>15.442547770700637</v>
      </c>
      <c r="W16" s="69" t="str">
        <f t="shared" si="12"/>
        <v>NA</v>
      </c>
      <c r="Z16" s="36" t="s">
        <v>158</v>
      </c>
      <c r="AA16" s="36" t="s">
        <v>161</v>
      </c>
      <c r="AB16" s="37">
        <v>50.51</v>
      </c>
      <c r="AC16" s="34">
        <v>44864</v>
      </c>
      <c r="AD16" s="54">
        <v>299.46756399999998</v>
      </c>
      <c r="AE16" s="54">
        <v>1.2969999999999999</v>
      </c>
      <c r="AF16" s="54">
        <v>46.04</v>
      </c>
      <c r="AG16" s="92">
        <f t="shared" si="13"/>
        <v>1.2969999999999999</v>
      </c>
      <c r="AH16" s="93">
        <f t="shared" si="31"/>
        <v>59.713879999999996</v>
      </c>
      <c r="AI16" s="93">
        <f t="shared" si="14"/>
        <v>-1.182218966541279</v>
      </c>
      <c r="AJ16" s="93">
        <f t="shared" si="15"/>
        <v>299.58234503345875</v>
      </c>
      <c r="AK16" s="39">
        <f>858+3994</f>
        <v>4852</v>
      </c>
      <c r="AL16" s="39">
        <v>2</v>
      </c>
      <c r="AM16" s="39">
        <v>0</v>
      </c>
      <c r="AN16" s="39">
        <v>130</v>
      </c>
      <c r="AO16" s="50">
        <f t="shared" si="16"/>
        <v>4724</v>
      </c>
      <c r="AP16" s="50"/>
      <c r="AQ16" s="86">
        <f t="shared" si="32"/>
        <v>7</v>
      </c>
      <c r="AR16" s="34">
        <v>44773</v>
      </c>
      <c r="AS16" s="39">
        <v>8562</v>
      </c>
      <c r="AT16" s="39">
        <f>5935+734+617+87+21</f>
        <v>7394</v>
      </c>
      <c r="AU16" s="39">
        <v>337</v>
      </c>
      <c r="AV16" s="50">
        <f t="shared" si="33"/>
        <v>1505</v>
      </c>
      <c r="AW16" s="50">
        <f t="shared" si="34"/>
        <v>1168</v>
      </c>
      <c r="AX16" s="36">
        <v>2.5099999999999998</v>
      </c>
      <c r="AZ16" s="34">
        <v>44500</v>
      </c>
      <c r="BA16" s="39">
        <v>2236</v>
      </c>
      <c r="BB16" s="39">
        <f>1514+170+156+21-1</f>
        <v>1860</v>
      </c>
      <c r="BC16" s="39">
        <v>83</v>
      </c>
      <c r="BD16" s="50">
        <f t="shared" si="35"/>
        <v>459</v>
      </c>
      <c r="BE16" s="50">
        <f t="shared" si="36"/>
        <v>376</v>
      </c>
      <c r="BF16" s="40">
        <v>0.86</v>
      </c>
      <c r="BH16" s="34">
        <v>44864</v>
      </c>
      <c r="BI16" s="39">
        <v>2575</v>
      </c>
      <c r="BJ16" s="39">
        <f>1741+201+158+21+18</f>
        <v>2139</v>
      </c>
      <c r="BK16" s="39">
        <v>91</v>
      </c>
      <c r="BL16" s="50">
        <f t="shared" si="37"/>
        <v>527</v>
      </c>
      <c r="BM16" s="50">
        <f t="shared" si="38"/>
        <v>436</v>
      </c>
      <c r="BN16" s="40">
        <v>0.99</v>
      </c>
      <c r="BP16" s="41">
        <f t="shared" si="17"/>
        <v>8901</v>
      </c>
      <c r="BQ16" s="41">
        <f t="shared" si="18"/>
        <v>7673</v>
      </c>
      <c r="BR16" s="41">
        <f t="shared" si="19"/>
        <v>345</v>
      </c>
      <c r="BS16" s="41">
        <f t="shared" si="20"/>
        <v>1573</v>
      </c>
      <c r="BT16" s="41">
        <f t="shared" si="21"/>
        <v>1228</v>
      </c>
      <c r="BU16" s="42">
        <f t="shared" si="22"/>
        <v>2.6399999999999997</v>
      </c>
      <c r="BW16" s="81">
        <v>45138</v>
      </c>
      <c r="BX16" s="39">
        <v>9225</v>
      </c>
      <c r="BY16" s="39">
        <f>BX16*0.195</f>
        <v>1798.875</v>
      </c>
      <c r="BZ16" s="39">
        <f>BY16-365</f>
        <v>1433.875</v>
      </c>
      <c r="CA16" s="40">
        <v>3</v>
      </c>
      <c r="CC16" s="81">
        <f t="shared" si="39"/>
        <v>45503</v>
      </c>
      <c r="CD16" s="39">
        <v>9600</v>
      </c>
      <c r="CE16" s="39">
        <f>CD16*0.223</f>
        <v>2140.8000000000002</v>
      </c>
      <c r="CF16" s="39">
        <f>CE16-420</f>
        <v>1720.8000000000002</v>
      </c>
      <c r="CG16" s="40">
        <v>3.65</v>
      </c>
      <c r="CI16" s="81">
        <f t="shared" si="40"/>
        <v>45868</v>
      </c>
      <c r="CJ16" s="39"/>
      <c r="CK16" s="39"/>
      <c r="CL16" s="39"/>
      <c r="CM16" s="40"/>
      <c r="CO16" s="81">
        <v>45291</v>
      </c>
      <c r="CP16" s="41">
        <f t="shared" si="41"/>
        <v>9381.25</v>
      </c>
      <c r="CQ16" s="41">
        <f t="shared" si="42"/>
        <v>1941.34375</v>
      </c>
      <c r="CR16" s="41">
        <f t="shared" si="43"/>
        <v>1553.4270833333335</v>
      </c>
      <c r="CS16" s="42">
        <f t="shared" si="44"/>
        <v>3.270833333333333</v>
      </c>
      <c r="CU16" s="81">
        <v>45657</v>
      </c>
      <c r="CV16" s="41" t="str">
        <f t="shared" si="45"/>
        <v/>
      </c>
      <c r="CW16" s="41" t="str">
        <f t="shared" si="24"/>
        <v/>
      </c>
      <c r="CX16" s="41" t="str">
        <f t="shared" si="25"/>
        <v/>
      </c>
      <c r="CY16" s="42" t="str">
        <f t="shared" si="26"/>
        <v/>
      </c>
    </row>
    <row r="17" spans="2:103">
      <c r="B17" s="67" t="str">
        <f t="shared" ref="B17:B18" si="46">Z17</f>
        <v>The Hershey Company</v>
      </c>
      <c r="C17" s="68">
        <f t="shared" si="28"/>
        <v>48337.622317200003</v>
      </c>
      <c r="D17" s="68">
        <f t="shared" si="0"/>
        <v>52665.078317200001</v>
      </c>
      <c r="E17" s="67"/>
      <c r="F17" s="69">
        <f t="shared" si="1"/>
        <v>5.0545726339231818</v>
      </c>
      <c r="G17" s="69">
        <f t="shared" si="2"/>
        <v>4.6197437120350875</v>
      </c>
      <c r="H17" s="69" t="str">
        <f t="shared" si="3"/>
        <v>NA</v>
      </c>
      <c r="I17" s="69"/>
      <c r="J17" s="69">
        <f t="shared" si="4"/>
        <v>19.987616785803205</v>
      </c>
      <c r="K17" s="69">
        <f t="shared" si="29"/>
        <v>16.799068043763953</v>
      </c>
      <c r="L17" s="69" t="str">
        <f t="shared" si="5"/>
        <v>NA</v>
      </c>
      <c r="M17" s="69"/>
      <c r="N17" s="69">
        <f t="shared" si="6"/>
        <v>23.274543444512407</v>
      </c>
      <c r="O17" s="69">
        <f t="shared" si="7"/>
        <v>19.255970134259595</v>
      </c>
      <c r="P17" s="69" t="str">
        <f t="shared" si="8"/>
        <v>NA</v>
      </c>
      <c r="Q17" s="69"/>
      <c r="R17" s="70">
        <f t="shared" si="30"/>
        <v>0.25288520828122646</v>
      </c>
      <c r="S17" s="71">
        <f t="shared" si="9"/>
        <v>1.8184263806040388</v>
      </c>
      <c r="T17" s="69"/>
      <c r="U17" s="69">
        <f t="shared" si="10"/>
        <v>29.502512562814072</v>
      </c>
      <c r="V17" s="69">
        <f t="shared" si="11"/>
        <v>27.628235294117648</v>
      </c>
      <c r="W17" s="69" t="str">
        <f t="shared" si="12"/>
        <v>NA</v>
      </c>
      <c r="Z17" s="36" t="s">
        <v>159</v>
      </c>
      <c r="AA17" s="36" t="s">
        <v>160</v>
      </c>
      <c r="AB17" s="37">
        <v>234.84</v>
      </c>
      <c r="AC17" s="34">
        <v>44926</v>
      </c>
      <c r="AD17" s="54">
        <f>146.968799+58.113777</f>
        <v>205.08257599999999</v>
      </c>
      <c r="AE17" s="54">
        <v>1.332956</v>
      </c>
      <c r="AF17" s="54">
        <v>102.78</v>
      </c>
      <c r="AG17" s="92">
        <f t="shared" si="13"/>
        <v>1.332956</v>
      </c>
      <c r="AH17" s="93">
        <f t="shared" si="31"/>
        <v>137.00121768</v>
      </c>
      <c r="AI17" s="93">
        <f t="shared" si="14"/>
        <v>-0.58338110066428206</v>
      </c>
      <c r="AJ17" s="93">
        <f t="shared" si="15"/>
        <v>205.83215089933572</v>
      </c>
      <c r="AK17" s="39">
        <f>693.79+753.578+3343.977</f>
        <v>4791.3449999999993</v>
      </c>
      <c r="AL17" s="39">
        <v>0</v>
      </c>
      <c r="AM17" s="39">
        <v>0</v>
      </c>
      <c r="AN17" s="39">
        <f>463.889</f>
        <v>463.88900000000001</v>
      </c>
      <c r="AO17" s="50">
        <f t="shared" ref="AO17:AO18" si="47">AK17+AL17+AM17-AN17</f>
        <v>4327.4559999999992</v>
      </c>
      <c r="AP17" s="50"/>
      <c r="AQ17" s="86">
        <f t="shared" si="32"/>
        <v>12</v>
      </c>
      <c r="AR17" s="34">
        <v>44926</v>
      </c>
      <c r="AS17" s="39">
        <v>10419.294</v>
      </c>
      <c r="AT17" s="39">
        <f>5920.509+2236.009</f>
        <v>8156.518</v>
      </c>
      <c r="AU17" s="39">
        <f>279.082/3*4</f>
        <v>372.10933333333332</v>
      </c>
      <c r="AV17" s="50">
        <f t="shared" si="33"/>
        <v>2634.8853333333332</v>
      </c>
      <c r="AW17" s="50">
        <f t="shared" si="34"/>
        <v>2262.7759999999998</v>
      </c>
      <c r="AX17" s="36">
        <v>7.96</v>
      </c>
      <c r="AZ17" s="34">
        <v>44926</v>
      </c>
      <c r="BA17" s="39"/>
      <c r="BB17" s="39"/>
      <c r="BC17" s="39"/>
      <c r="BD17" s="50">
        <f t="shared" si="35"/>
        <v>0</v>
      </c>
      <c r="BE17" s="50">
        <f t="shared" si="36"/>
        <v>0</v>
      </c>
      <c r="BF17" s="40"/>
      <c r="BH17" s="34">
        <v>44926</v>
      </c>
      <c r="BI17" s="39"/>
      <c r="BJ17" s="39"/>
      <c r="BK17" s="39"/>
      <c r="BL17" s="50">
        <f t="shared" si="37"/>
        <v>0</v>
      </c>
      <c r="BM17" s="50">
        <f t="shared" si="38"/>
        <v>0</v>
      </c>
      <c r="BN17" s="40"/>
      <c r="BP17" s="41">
        <f t="shared" si="17"/>
        <v>10419.294</v>
      </c>
      <c r="BQ17" s="41">
        <f t="shared" si="18"/>
        <v>8156.518</v>
      </c>
      <c r="BR17" s="41">
        <f t="shared" si="19"/>
        <v>372.10933333333332</v>
      </c>
      <c r="BS17" s="41">
        <f t="shared" si="20"/>
        <v>2634.8853333333332</v>
      </c>
      <c r="BT17" s="41">
        <f t="shared" si="21"/>
        <v>2262.7759999999998</v>
      </c>
      <c r="BU17" s="42">
        <f t="shared" si="22"/>
        <v>7.96</v>
      </c>
      <c r="BW17" s="81">
        <v>45291</v>
      </c>
      <c r="BX17" s="39">
        <v>11400</v>
      </c>
      <c r="BY17" s="39">
        <f>BX17*0.275</f>
        <v>3135.0000000000005</v>
      </c>
      <c r="BZ17" s="39">
        <f>BY17-400</f>
        <v>2735.0000000000005</v>
      </c>
      <c r="CA17" s="40">
        <v>8.5</v>
      </c>
      <c r="CC17" s="81">
        <f t="shared" si="39"/>
        <v>45656</v>
      </c>
      <c r="CD17" s="39">
        <v>14000</v>
      </c>
      <c r="CE17" s="39">
        <f>CD17*0.3</f>
        <v>4200</v>
      </c>
      <c r="CF17" s="39">
        <f>CE17-500</f>
        <v>3700</v>
      </c>
      <c r="CG17" s="40">
        <v>10.5</v>
      </c>
      <c r="CI17" s="81">
        <f t="shared" si="40"/>
        <v>46021</v>
      </c>
      <c r="CJ17" s="39"/>
      <c r="CK17" s="39"/>
      <c r="CL17" s="39"/>
      <c r="CM17" s="40"/>
      <c r="CO17" s="81">
        <v>45291</v>
      </c>
      <c r="CP17" s="41">
        <f t="shared" si="41"/>
        <v>11400</v>
      </c>
      <c r="CQ17" s="41">
        <f t="shared" si="42"/>
        <v>3135.0000000000005</v>
      </c>
      <c r="CR17" s="41">
        <f t="shared" si="43"/>
        <v>2735.0000000000005</v>
      </c>
      <c r="CS17" s="42">
        <f t="shared" si="44"/>
        <v>8.5</v>
      </c>
      <c r="CU17" s="81">
        <v>45657</v>
      </c>
      <c r="CV17" s="41" t="str">
        <f t="shared" si="45"/>
        <v/>
      </c>
      <c r="CW17" s="41" t="str">
        <f t="shared" si="24"/>
        <v/>
      </c>
      <c r="CX17" s="41" t="str">
        <f t="shared" si="25"/>
        <v/>
      </c>
      <c r="CY17" s="42" t="str">
        <f t="shared" si="26"/>
        <v/>
      </c>
    </row>
    <row r="18" spans="2:103">
      <c r="B18" s="67" t="str">
        <f t="shared" si="46"/>
        <v>Mondelez International, Inc.</v>
      </c>
      <c r="C18" s="68">
        <f t="shared" si="28"/>
        <v>88707.310566710017</v>
      </c>
      <c r="D18" s="68">
        <f t="shared" si="0"/>
        <v>110268.31056671002</v>
      </c>
      <c r="E18" s="67"/>
      <c r="F18" s="69">
        <f t="shared" si="1"/>
        <v>3.5010258625447683</v>
      </c>
      <c r="G18" s="69">
        <f t="shared" si="2"/>
        <v>3.4351498618912779</v>
      </c>
      <c r="H18" s="69" t="str">
        <f t="shared" si="3"/>
        <v>NA</v>
      </c>
      <c r="I18" s="69"/>
      <c r="J18" s="69">
        <f t="shared" si="4"/>
        <v>21.900359596168823</v>
      </c>
      <c r="K18" s="69">
        <f t="shared" si="29"/>
        <v>17.175749309456389</v>
      </c>
      <c r="L18" s="69" t="str">
        <f t="shared" si="5"/>
        <v>NA</v>
      </c>
      <c r="M18" s="69"/>
      <c r="N18" s="69">
        <f t="shared" si="6"/>
        <v>28.072380490506625</v>
      </c>
      <c r="O18" s="69">
        <f t="shared" si="7"/>
        <v>20.824987831295566</v>
      </c>
      <c r="P18" s="69" t="str">
        <f t="shared" si="8"/>
        <v>NA</v>
      </c>
      <c r="Q18" s="69"/>
      <c r="R18" s="70">
        <f t="shared" si="30"/>
        <v>0.15986156972313945</v>
      </c>
      <c r="S18" s="71">
        <f t="shared" si="9"/>
        <v>4.6568023833167826</v>
      </c>
      <c r="T18" s="69"/>
      <c r="U18" s="69">
        <f t="shared" si="10"/>
        <v>33.056122448979593</v>
      </c>
      <c r="V18" s="69">
        <f t="shared" si="11"/>
        <v>20.900000000000002</v>
      </c>
      <c r="W18" s="69" t="str">
        <f t="shared" si="12"/>
        <v>NA</v>
      </c>
      <c r="Z18" s="36" t="s">
        <v>162</v>
      </c>
      <c r="AA18" s="36" t="s">
        <v>163</v>
      </c>
      <c r="AB18" s="37">
        <v>64.790000000000006</v>
      </c>
      <c r="AC18" s="34">
        <v>44926</v>
      </c>
      <c r="AD18" s="54">
        <v>1363.3068490000001</v>
      </c>
      <c r="AE18" s="54">
        <v>20.49025</v>
      </c>
      <c r="AF18" s="54">
        <v>46.31</v>
      </c>
      <c r="AG18" s="92">
        <f t="shared" si="13"/>
        <v>20.49025</v>
      </c>
      <c r="AH18" s="93">
        <f t="shared" si="31"/>
        <v>948.90347750000001</v>
      </c>
      <c r="AI18" s="93">
        <f t="shared" si="14"/>
        <v>-14.645832342954158</v>
      </c>
      <c r="AJ18" s="93">
        <f t="shared" si="15"/>
        <v>1369.1512666570459</v>
      </c>
      <c r="AK18" s="39">
        <f>2299+383+20251+514</f>
        <v>23447</v>
      </c>
      <c r="AL18" s="39">
        <v>37</v>
      </c>
      <c r="AM18" s="39">
        <v>0</v>
      </c>
      <c r="AN18" s="39">
        <v>1923</v>
      </c>
      <c r="AO18" s="50">
        <f t="shared" si="47"/>
        <v>21561</v>
      </c>
      <c r="AP18" s="50"/>
      <c r="AQ18" s="86">
        <f t="shared" si="32"/>
        <v>12</v>
      </c>
      <c r="AR18" s="34">
        <v>44926</v>
      </c>
      <c r="AS18" s="39">
        <v>31496</v>
      </c>
      <c r="AT18" s="39">
        <f>20184+7384</f>
        <v>27568</v>
      </c>
      <c r="AU18" s="39">
        <v>1107</v>
      </c>
      <c r="AV18" s="50">
        <f t="shared" si="33"/>
        <v>5035</v>
      </c>
      <c r="AW18" s="50">
        <f t="shared" si="34"/>
        <v>3928</v>
      </c>
      <c r="AX18" s="36">
        <v>1.96</v>
      </c>
      <c r="AZ18" s="34">
        <v>44926</v>
      </c>
      <c r="BA18" s="39"/>
      <c r="BB18" s="39"/>
      <c r="BC18" s="39"/>
      <c r="BD18" s="50">
        <f t="shared" si="35"/>
        <v>0</v>
      </c>
      <c r="BE18" s="50">
        <f t="shared" si="36"/>
        <v>0</v>
      </c>
      <c r="BF18" s="40"/>
      <c r="BH18" s="34">
        <v>44926</v>
      </c>
      <c r="BI18" s="39"/>
      <c r="BJ18" s="39"/>
      <c r="BK18" s="39"/>
      <c r="BL18" s="50">
        <f t="shared" si="37"/>
        <v>0</v>
      </c>
      <c r="BM18" s="50">
        <f t="shared" si="38"/>
        <v>0</v>
      </c>
      <c r="BN18" s="40"/>
      <c r="BP18" s="41">
        <f t="shared" si="17"/>
        <v>31496</v>
      </c>
      <c r="BQ18" s="41">
        <f t="shared" si="18"/>
        <v>27568</v>
      </c>
      <c r="BR18" s="41">
        <f t="shared" si="19"/>
        <v>1107</v>
      </c>
      <c r="BS18" s="41">
        <f t="shared" si="20"/>
        <v>5035</v>
      </c>
      <c r="BT18" s="41">
        <f t="shared" si="21"/>
        <v>3928</v>
      </c>
      <c r="BU18" s="42">
        <f t="shared" si="22"/>
        <v>1.96</v>
      </c>
      <c r="BW18" s="81">
        <v>45291</v>
      </c>
      <c r="BX18" s="39">
        <v>32100</v>
      </c>
      <c r="BY18" s="39">
        <f>BX18*0.2</f>
        <v>6420</v>
      </c>
      <c r="BZ18" s="39">
        <f>BY18-1125</f>
        <v>5295</v>
      </c>
      <c r="CA18" s="40">
        <v>3.1</v>
      </c>
      <c r="CC18" s="81">
        <f t="shared" si="39"/>
        <v>45656</v>
      </c>
      <c r="CD18" s="39">
        <v>33875</v>
      </c>
      <c r="CE18" s="39">
        <f>CD18*0.23</f>
        <v>7791.25</v>
      </c>
      <c r="CF18" s="39">
        <f>CE18-1190</f>
        <v>6601.25</v>
      </c>
      <c r="CG18" s="40">
        <v>4.2</v>
      </c>
      <c r="CI18" s="81">
        <f t="shared" si="40"/>
        <v>46021</v>
      </c>
      <c r="CJ18" s="39"/>
      <c r="CK18" s="39"/>
      <c r="CL18" s="39"/>
      <c r="CM18" s="40"/>
      <c r="CO18" s="81">
        <v>45291</v>
      </c>
      <c r="CP18" s="41">
        <f t="shared" si="41"/>
        <v>32100</v>
      </c>
      <c r="CQ18" s="41">
        <f t="shared" si="42"/>
        <v>6420</v>
      </c>
      <c r="CR18" s="41">
        <f t="shared" si="43"/>
        <v>5295</v>
      </c>
      <c r="CS18" s="42">
        <f t="shared" si="44"/>
        <v>3.1</v>
      </c>
      <c r="CU18" s="81">
        <v>45657</v>
      </c>
      <c r="CV18" s="41" t="str">
        <f t="shared" si="45"/>
        <v/>
      </c>
      <c r="CW18" s="41" t="str">
        <f t="shared" si="24"/>
        <v/>
      </c>
      <c r="CX18" s="41" t="str">
        <f t="shared" si="25"/>
        <v/>
      </c>
      <c r="CY18" s="42" t="str">
        <f t="shared" si="26"/>
        <v/>
      </c>
    </row>
    <row r="19" spans="2:103">
      <c r="B19" s="67" t="str">
        <f t="shared" si="27"/>
        <v>Hormel Foods Corporation</v>
      </c>
      <c r="C19" s="68">
        <f t="shared" si="28"/>
        <v>24506.777636280003</v>
      </c>
      <c r="D19" s="68">
        <f t="shared" si="0"/>
        <v>26812.802636280005</v>
      </c>
      <c r="E19" s="67"/>
      <c r="F19" s="69">
        <f t="shared" si="1"/>
        <v>2.1521165540485985</v>
      </c>
      <c r="G19" s="69">
        <f t="shared" si="2"/>
        <v>2.0533097105000642</v>
      </c>
      <c r="H19" s="69" t="str">
        <f t="shared" si="3"/>
        <v>NA</v>
      </c>
      <c r="I19" s="69"/>
      <c r="J19" s="69">
        <f t="shared" si="4"/>
        <v>17.318985227939496</v>
      </c>
      <c r="K19" s="69">
        <f t="shared" si="29"/>
        <v>15.354504015049395</v>
      </c>
      <c r="L19" s="69" t="str">
        <f t="shared" si="5"/>
        <v>NA</v>
      </c>
      <c r="M19" s="69"/>
      <c r="N19" s="69">
        <f t="shared" si="6"/>
        <v>20.859160256662992</v>
      </c>
      <c r="O19" s="69">
        <f t="shared" si="7"/>
        <v>18.380670187681236</v>
      </c>
      <c r="P19" s="69" t="str">
        <f t="shared" si="8"/>
        <v>NA</v>
      </c>
      <c r="Q19" s="69"/>
      <c r="R19" s="70">
        <f t="shared" si="30"/>
        <v>0.12426343262749256</v>
      </c>
      <c r="S19" s="71">
        <f t="shared" si="9"/>
        <v>2.1311202745944575</v>
      </c>
      <c r="T19" s="69"/>
      <c r="U19" s="69">
        <f t="shared" si="10"/>
        <v>24.516483516483515</v>
      </c>
      <c r="V19" s="69">
        <f t="shared" si="11"/>
        <v>21.944262295081966</v>
      </c>
      <c r="W19" s="69" t="str">
        <f t="shared" si="12"/>
        <v>NA</v>
      </c>
      <c r="Z19" s="36" t="s">
        <v>164</v>
      </c>
      <c r="AA19" s="36" t="s">
        <v>165</v>
      </c>
      <c r="AB19" s="37">
        <v>44.62</v>
      </c>
      <c r="AC19" s="34">
        <v>44864</v>
      </c>
      <c r="AD19" s="54">
        <v>546.42419400000006</v>
      </c>
      <c r="AE19" s="54">
        <v>16.13</v>
      </c>
      <c r="AF19" s="54">
        <v>36.85</v>
      </c>
      <c r="AG19" s="92">
        <f t="shared" si="13"/>
        <v>16.13</v>
      </c>
      <c r="AH19" s="93">
        <f t="shared" si="31"/>
        <v>594.39049999999997</v>
      </c>
      <c r="AI19" s="93">
        <f t="shared" si="14"/>
        <v>-13.32116763783057</v>
      </c>
      <c r="AJ19" s="93">
        <f t="shared" si="15"/>
        <v>549.23302636216954</v>
      </c>
      <c r="AK19" s="39">
        <f>8.796+3290.549</f>
        <v>3299.3449999999998</v>
      </c>
      <c r="AL19" s="39">
        <v>4.9359999999999999</v>
      </c>
      <c r="AM19" s="39">
        <v>0</v>
      </c>
      <c r="AN19" s="39">
        <f>982.107+16.149</f>
        <v>998.25599999999997</v>
      </c>
      <c r="AO19" s="50">
        <f t="shared" si="16"/>
        <v>2306.0250000000001</v>
      </c>
      <c r="AP19" s="50"/>
      <c r="AQ19" s="86">
        <f t="shared" si="32"/>
        <v>10</v>
      </c>
      <c r="AR19" s="34">
        <v>44864</v>
      </c>
      <c r="AS19" s="39">
        <v>12458.806</v>
      </c>
      <c r="AT19" s="39">
        <f>10294.12+879.265</f>
        <v>11173.385</v>
      </c>
      <c r="AU19" s="39">
        <f>213.026+49.727</f>
        <v>262.75299999999999</v>
      </c>
      <c r="AV19" s="50">
        <f t="shared" si="33"/>
        <v>1548.1740000000002</v>
      </c>
      <c r="AW19" s="50">
        <f t="shared" si="34"/>
        <v>1285.4210000000003</v>
      </c>
      <c r="AX19" s="36">
        <v>1.82</v>
      </c>
      <c r="AZ19" s="34">
        <v>44864</v>
      </c>
      <c r="BA19" s="39"/>
      <c r="BB19" s="39"/>
      <c r="BC19" s="39"/>
      <c r="BD19" s="50">
        <f t="shared" si="35"/>
        <v>0</v>
      </c>
      <c r="BE19" s="50">
        <f t="shared" si="36"/>
        <v>0</v>
      </c>
      <c r="BF19" s="40"/>
      <c r="BH19" s="34">
        <v>44864</v>
      </c>
      <c r="BI19" s="39"/>
      <c r="BJ19" s="39"/>
      <c r="BK19" s="39"/>
      <c r="BL19" s="50">
        <f t="shared" si="37"/>
        <v>0</v>
      </c>
      <c r="BM19" s="50">
        <f t="shared" si="38"/>
        <v>0</v>
      </c>
      <c r="BN19" s="40"/>
      <c r="BP19" s="41">
        <f t="shared" si="17"/>
        <v>12458.806</v>
      </c>
      <c r="BQ19" s="41">
        <f t="shared" si="18"/>
        <v>11173.385</v>
      </c>
      <c r="BR19" s="41">
        <f t="shared" si="19"/>
        <v>262.75299999999999</v>
      </c>
      <c r="BS19" s="41">
        <f t="shared" si="20"/>
        <v>1548.1740000000002</v>
      </c>
      <c r="BT19" s="41">
        <f t="shared" si="21"/>
        <v>1285.4210000000003</v>
      </c>
      <c r="BU19" s="42">
        <f t="shared" si="22"/>
        <v>1.82</v>
      </c>
      <c r="BW19" s="81">
        <v>45229</v>
      </c>
      <c r="BX19" s="39">
        <v>12750</v>
      </c>
      <c r="BY19" s="39">
        <f>BX19*0.13</f>
        <v>1657.5</v>
      </c>
      <c r="BZ19" s="39">
        <f>BY19-285</f>
        <v>1372.5</v>
      </c>
      <c r="CA19" s="40">
        <v>1.9</v>
      </c>
      <c r="CC19" s="81">
        <f t="shared" si="39"/>
        <v>45594</v>
      </c>
      <c r="CD19" s="39">
        <v>14600</v>
      </c>
      <c r="CE19" s="39">
        <f>CD19*0.15</f>
        <v>2190</v>
      </c>
      <c r="CF19" s="39">
        <f>CE19-300</f>
        <v>1890</v>
      </c>
      <c r="CG19" s="40">
        <v>2.7</v>
      </c>
      <c r="CI19" s="81">
        <f t="shared" si="40"/>
        <v>45959</v>
      </c>
      <c r="CJ19" s="39"/>
      <c r="CK19" s="39"/>
      <c r="CL19" s="39"/>
      <c r="CM19" s="40"/>
      <c r="CO19" s="81">
        <v>45291</v>
      </c>
      <c r="CP19" s="41">
        <f t="shared" si="41"/>
        <v>13058.333333333332</v>
      </c>
      <c r="CQ19" s="41">
        <f t="shared" si="42"/>
        <v>1746.25</v>
      </c>
      <c r="CR19" s="41">
        <f t="shared" si="43"/>
        <v>1458.75</v>
      </c>
      <c r="CS19" s="42">
        <f t="shared" si="44"/>
        <v>2.0333333333333332</v>
      </c>
      <c r="CU19" s="81">
        <v>45657</v>
      </c>
      <c r="CV19" s="41" t="str">
        <f t="shared" si="45"/>
        <v/>
      </c>
      <c r="CW19" s="41" t="str">
        <f t="shared" si="24"/>
        <v/>
      </c>
      <c r="CX19" s="41" t="str">
        <f t="shared" si="25"/>
        <v/>
      </c>
      <c r="CY19" s="42" t="str">
        <f t="shared" si="26"/>
        <v/>
      </c>
    </row>
    <row r="20" spans="2:103">
      <c r="B20" s="67" t="str">
        <f t="shared" si="27"/>
        <v>Post Holdings, Inc.</v>
      </c>
      <c r="C20" s="68">
        <f t="shared" si="28"/>
        <v>5561.3363807100004</v>
      </c>
      <c r="D20" s="68">
        <f t="shared" si="0"/>
        <v>11162.136380710001</v>
      </c>
      <c r="E20" s="67"/>
      <c r="F20" s="69">
        <f t="shared" si="1"/>
        <v>1.8358776941957238</v>
      </c>
      <c r="G20" s="69">
        <f t="shared" si="2"/>
        <v>1.7967221538366198</v>
      </c>
      <c r="H20" s="69" t="str">
        <f t="shared" si="3"/>
        <v>NA</v>
      </c>
      <c r="I20" s="69"/>
      <c r="J20" s="69">
        <f t="shared" si="4"/>
        <v>11.005853264356142</v>
      </c>
      <c r="K20" s="69">
        <f t="shared" si="29"/>
        <v>10.547357292522118</v>
      </c>
      <c r="L20" s="69" t="str">
        <f t="shared" si="5"/>
        <v>NA</v>
      </c>
      <c r="M20" s="69"/>
      <c r="N20" s="69">
        <f t="shared" si="6"/>
        <v>17.500997774709944</v>
      </c>
      <c r="O20" s="69">
        <f t="shared" si="7"/>
        <v>15.170326188892856</v>
      </c>
      <c r="P20" s="69" t="str">
        <f t="shared" si="8"/>
        <v>NA</v>
      </c>
      <c r="Q20" s="69"/>
      <c r="R20" s="70">
        <f t="shared" si="30"/>
        <v>0.16680921052631581</v>
      </c>
      <c r="S20" s="71">
        <f t="shared" si="9"/>
        <v>5.8054624334450802</v>
      </c>
      <c r="T20" s="69"/>
      <c r="U20" s="69">
        <f t="shared" si="10"/>
        <v>6.7304097771387497</v>
      </c>
      <c r="V20" s="69">
        <f t="shared" si="11"/>
        <v>27.334306569343067</v>
      </c>
      <c r="W20" s="69" t="str">
        <f t="shared" si="12"/>
        <v>NA</v>
      </c>
      <c r="Z20" s="36" t="s">
        <v>166</v>
      </c>
      <c r="AA20" s="36" t="s">
        <v>167</v>
      </c>
      <c r="AB20" s="37">
        <v>93.62</v>
      </c>
      <c r="AC20" s="34">
        <v>44926</v>
      </c>
      <c r="AD20" s="54">
        <v>58.918593000000001</v>
      </c>
      <c r="AE20" s="54">
        <v>1.011315</v>
      </c>
      <c r="AF20" s="54">
        <v>48.75</v>
      </c>
      <c r="AG20" s="92">
        <f t="shared" si="13"/>
        <v>1.011315</v>
      </c>
      <c r="AH20" s="93">
        <f t="shared" si="31"/>
        <v>49.301606249999999</v>
      </c>
      <c r="AI20" s="93">
        <f t="shared" si="14"/>
        <v>-0.52661403813287755</v>
      </c>
      <c r="AJ20" s="93">
        <f t="shared" si="15"/>
        <v>59.403293961867128</v>
      </c>
      <c r="AK20" s="39">
        <f>1.1+5886.8</f>
        <v>5887.9000000000005</v>
      </c>
      <c r="AL20" s="39">
        <f>308.1+11.6</f>
        <v>319.70000000000005</v>
      </c>
      <c r="AM20" s="39">
        <v>0</v>
      </c>
      <c r="AN20" s="39">
        <v>606.79999999999995</v>
      </c>
      <c r="AO20" s="50">
        <f t="shared" si="16"/>
        <v>5600.8</v>
      </c>
      <c r="AP20" s="50"/>
      <c r="AQ20" s="86">
        <f t="shared" si="32"/>
        <v>9</v>
      </c>
      <c r="AR20" s="34">
        <v>44834</v>
      </c>
      <c r="AS20" s="39">
        <v>5851.2</v>
      </c>
      <c r="AT20" s="39">
        <f>4383.7+904.7</f>
        <v>5288.4</v>
      </c>
      <c r="AU20" s="39">
        <f>380.2</f>
        <v>380.2</v>
      </c>
      <c r="AV20" s="50">
        <f t="shared" si="33"/>
        <v>943.00000000000023</v>
      </c>
      <c r="AW20" s="50">
        <f t="shared" si="34"/>
        <v>562.80000000000018</v>
      </c>
      <c r="AX20" s="36">
        <v>11.75</v>
      </c>
      <c r="AY20" s="52"/>
      <c r="AZ20" s="34">
        <v>44561</v>
      </c>
      <c r="BA20" s="39">
        <v>1337.5</v>
      </c>
      <c r="BB20" s="39">
        <f>1005.8+220.5</f>
        <v>1226.3</v>
      </c>
      <c r="BC20" s="39">
        <f>96.4</f>
        <v>96.4</v>
      </c>
      <c r="BD20" s="50">
        <f t="shared" si="35"/>
        <v>207.60000000000005</v>
      </c>
      <c r="BE20" s="50">
        <f t="shared" si="36"/>
        <v>111.20000000000005</v>
      </c>
      <c r="BF20" s="40">
        <v>-0.64</v>
      </c>
      <c r="BH20" s="34">
        <v>44926</v>
      </c>
      <c r="BI20" s="39">
        <v>1566.3</v>
      </c>
      <c r="BJ20" s="39">
        <f>1151.4+228.7</f>
        <v>1380.1000000000001</v>
      </c>
      <c r="BK20" s="39">
        <f>92.6</f>
        <v>92.6</v>
      </c>
      <c r="BL20" s="50">
        <f t="shared" si="37"/>
        <v>278.79999999999984</v>
      </c>
      <c r="BM20" s="50">
        <f t="shared" si="38"/>
        <v>186.19999999999985</v>
      </c>
      <c r="BN20" s="40">
        <v>1.52</v>
      </c>
      <c r="BP20" s="41">
        <f t="shared" si="17"/>
        <v>6080</v>
      </c>
      <c r="BQ20" s="41">
        <f t="shared" si="18"/>
        <v>5442.2</v>
      </c>
      <c r="BR20" s="41">
        <f t="shared" si="19"/>
        <v>376.4</v>
      </c>
      <c r="BS20" s="41">
        <f t="shared" si="20"/>
        <v>1014.2</v>
      </c>
      <c r="BT20" s="41">
        <f t="shared" si="21"/>
        <v>637.79999999999995</v>
      </c>
      <c r="BU20" s="42">
        <f t="shared" si="22"/>
        <v>13.91</v>
      </c>
      <c r="BW20" s="81">
        <v>45199</v>
      </c>
      <c r="BX20" s="39">
        <f>6150</f>
        <v>6150</v>
      </c>
      <c r="BY20" s="39">
        <f>BX20*0.167</f>
        <v>1027.05</v>
      </c>
      <c r="BZ20" s="39">
        <f>BY20-305</f>
        <v>722.05</v>
      </c>
      <c r="CA20" s="40">
        <f>3.4</f>
        <v>3.4</v>
      </c>
      <c r="CC20" s="81">
        <f t="shared" si="39"/>
        <v>45564</v>
      </c>
      <c r="CD20" s="39">
        <v>6400</v>
      </c>
      <c r="CE20" s="39">
        <f>CD20*0.18</f>
        <v>1152</v>
      </c>
      <c r="CF20" s="39">
        <f>CE20-375</f>
        <v>777</v>
      </c>
      <c r="CG20" s="40">
        <v>3.5</v>
      </c>
      <c r="CI20" s="81">
        <f t="shared" si="40"/>
        <v>45929</v>
      </c>
      <c r="CJ20" s="39"/>
      <c r="CK20" s="39"/>
      <c r="CL20" s="39"/>
      <c r="CM20" s="40"/>
      <c r="CO20" s="81">
        <v>45291</v>
      </c>
      <c r="CP20" s="41">
        <f t="shared" si="41"/>
        <v>6212.5</v>
      </c>
      <c r="CQ20" s="41">
        <f t="shared" si="42"/>
        <v>1058.2874999999999</v>
      </c>
      <c r="CR20" s="41">
        <f t="shared" si="43"/>
        <v>735.78749999999991</v>
      </c>
      <c r="CS20" s="42">
        <f t="shared" si="44"/>
        <v>3.4249999999999998</v>
      </c>
      <c r="CU20" s="81">
        <v>45657</v>
      </c>
      <c r="CV20" s="41" t="str">
        <f t="shared" si="45"/>
        <v/>
      </c>
      <c r="CW20" s="41" t="str">
        <f t="shared" si="24"/>
        <v/>
      </c>
      <c r="CX20" s="41" t="str">
        <f t="shared" si="25"/>
        <v/>
      </c>
      <c r="CY20" s="42" t="str">
        <f t="shared" si="26"/>
        <v/>
      </c>
    </row>
    <row r="21" spans="2:103">
      <c r="B21" s="67" t="str">
        <f t="shared" ref="B21" si="48">Z21</f>
        <v>The J. M. Smucker Company</v>
      </c>
      <c r="C21" s="68">
        <f t="shared" si="28"/>
        <v>15899.693033629999</v>
      </c>
      <c r="D21" s="68">
        <f t="shared" si="0"/>
        <v>20582.493033629999</v>
      </c>
      <c r="E21" s="67"/>
      <c r="F21" s="69">
        <f t="shared" si="1"/>
        <v>2.5195853878846859</v>
      </c>
      <c r="G21" s="69">
        <f t="shared" si="2"/>
        <v>2.2933139870339829</v>
      </c>
      <c r="H21" s="69" t="str">
        <f t="shared" si="3"/>
        <v>NA</v>
      </c>
      <c r="I21" s="69"/>
      <c r="J21" s="69">
        <f t="shared" si="4"/>
        <v>12.329275807853122</v>
      </c>
      <c r="K21" s="69">
        <f t="shared" si="29"/>
        <v>11.329344953811999</v>
      </c>
      <c r="L21" s="69" t="str">
        <f t="shared" si="5"/>
        <v>NA</v>
      </c>
      <c r="M21" s="69"/>
      <c r="N21" s="69">
        <f t="shared" si="6"/>
        <v>16.916654091912552</v>
      </c>
      <c r="O21" s="69">
        <f t="shared" si="7"/>
        <v>15.73094003551134</v>
      </c>
      <c r="P21" s="69" t="str">
        <f t="shared" si="8"/>
        <v>NA</v>
      </c>
      <c r="Q21" s="69"/>
      <c r="R21" s="70">
        <f t="shared" si="30"/>
        <v>0.20435793854816986</v>
      </c>
      <c r="S21" s="71">
        <f t="shared" si="9"/>
        <v>2.8213130466035707</v>
      </c>
      <c r="T21" s="69"/>
      <c r="U21" s="69">
        <f t="shared" si="10"/>
        <v>27.934333958724199</v>
      </c>
      <c r="V21" s="69">
        <f t="shared" si="11"/>
        <v>16.919318181818181</v>
      </c>
      <c r="W21" s="69" t="str">
        <f t="shared" si="12"/>
        <v>NA</v>
      </c>
      <c r="Z21" s="36" t="s">
        <v>168</v>
      </c>
      <c r="AA21" s="36" t="s">
        <v>169</v>
      </c>
      <c r="AB21" s="37">
        <v>148.88999999999999</v>
      </c>
      <c r="AC21" s="34">
        <v>44865</v>
      </c>
      <c r="AD21" s="54">
        <v>106.639011</v>
      </c>
      <c r="AE21" s="54">
        <v>0.727742</v>
      </c>
      <c r="AF21" s="54">
        <v>118.37</v>
      </c>
      <c r="AG21" s="92">
        <f t="shared" ref="AG21" si="49">IF(ISERROR(IF(AF21&lt;AB21,AE21,0)),0,IF(AF21&lt;AB21,AE21,0))</f>
        <v>0.727742</v>
      </c>
      <c r="AH21" s="93">
        <f t="shared" ref="AH21" si="50">AG21*AF21</f>
        <v>86.142820540000002</v>
      </c>
      <c r="AI21" s="93">
        <f t="shared" ref="AI21" si="51">+IF(ISERROR(0-AH21/AB21),0,-AH21/AB21)</f>
        <v>-0.57856686506817123</v>
      </c>
      <c r="AJ21" s="93">
        <f t="shared" ref="AJ21" si="52">AD21+AG21+AI21</f>
        <v>106.78818613493183</v>
      </c>
      <c r="AK21" s="39">
        <f>302+36.1+4312.4+59.4</f>
        <v>4709.8999999999996</v>
      </c>
      <c r="AL21" s="39">
        <v>0</v>
      </c>
      <c r="AM21" s="39">
        <v>0</v>
      </c>
      <c r="AN21" s="39">
        <v>27.1</v>
      </c>
      <c r="AO21" s="50">
        <f t="shared" ref="AO21" si="53">AK21+AL21+AM21-AN21</f>
        <v>4682.7999999999993</v>
      </c>
      <c r="AP21" s="50"/>
      <c r="AQ21" s="86">
        <f t="shared" ref="AQ21" si="54">MONTH(AR21)</f>
        <v>4</v>
      </c>
      <c r="AR21" s="34">
        <v>44681</v>
      </c>
      <c r="AS21" s="39">
        <v>7998.9</v>
      </c>
      <c r="AT21" s="39">
        <f>5298.2+1360.3</f>
        <v>6658.5</v>
      </c>
      <c r="AU21" s="39">
        <f>235.5+223.6</f>
        <v>459.1</v>
      </c>
      <c r="AV21" s="50">
        <f t="shared" ref="AV21" si="55">AS21-AT21+AU21</f>
        <v>1799.4999999999995</v>
      </c>
      <c r="AW21" s="50">
        <f t="shared" ref="AW21" si="56">AV21-AU21</f>
        <v>1340.3999999999996</v>
      </c>
      <c r="AX21" s="36">
        <v>5.83</v>
      </c>
      <c r="AZ21" s="34">
        <v>44500</v>
      </c>
      <c r="BA21" s="39">
        <v>3908</v>
      </c>
      <c r="BB21" s="39">
        <f>2557.1+671.7</f>
        <v>3228.8</v>
      </c>
      <c r="BC21" s="39">
        <f>119+110.8</f>
        <v>229.8</v>
      </c>
      <c r="BD21" s="50">
        <f t="shared" ref="BD21" si="57">BA21-BB21+BC21</f>
        <v>908.99999999999977</v>
      </c>
      <c r="BE21" s="50">
        <f t="shared" ref="BE21" si="58">BD21-BC21</f>
        <v>679.19999999999982</v>
      </c>
      <c r="BF21" s="40">
        <v>3.32</v>
      </c>
      <c r="BH21" s="34">
        <v>44865</v>
      </c>
      <c r="BI21" s="39">
        <v>4078.1</v>
      </c>
      <c r="BJ21" s="39">
        <f>2824.5+698.1</f>
        <v>3522.6</v>
      </c>
      <c r="BK21" s="39">
        <f>112.2+111.2</f>
        <v>223.4</v>
      </c>
      <c r="BL21" s="50">
        <f t="shared" ref="BL21" si="59">BI21-BJ21+BK21</f>
        <v>778.9</v>
      </c>
      <c r="BM21" s="50">
        <f t="shared" ref="BM21" si="60">BL21-BK21</f>
        <v>555.5</v>
      </c>
      <c r="BN21" s="40">
        <v>2.82</v>
      </c>
      <c r="BP21" s="41">
        <f t="shared" ref="BP21" si="61">AS21-BA21+BI21</f>
        <v>8169</v>
      </c>
      <c r="BQ21" s="41">
        <f t="shared" ref="BQ21" si="62">AT21-BB21+BJ21</f>
        <v>6952.2999999999993</v>
      </c>
      <c r="BR21" s="41">
        <f t="shared" ref="BR21" si="63">AU21-BC21+BK21</f>
        <v>452.70000000000005</v>
      </c>
      <c r="BS21" s="41">
        <f t="shared" ref="BS21" si="64">AV21-BD21+BL21</f>
        <v>1669.3999999999996</v>
      </c>
      <c r="BT21" s="41">
        <f t="shared" ref="BT21" si="65">AW21-BE21+BM21</f>
        <v>1216.6999999999998</v>
      </c>
      <c r="BU21" s="42">
        <f t="shared" ref="BU21" si="66">AX21-BF21+BN21</f>
        <v>5.33</v>
      </c>
      <c r="BW21" s="81">
        <v>45046</v>
      </c>
      <c r="BX21" s="39">
        <f>8675</f>
        <v>8675</v>
      </c>
      <c r="BY21" s="39">
        <f>BX21*0.197</f>
        <v>1708.9750000000001</v>
      </c>
      <c r="BZ21" s="39">
        <f>BY21-485</f>
        <v>1223.9750000000001</v>
      </c>
      <c r="CA21" s="40">
        <v>7.9</v>
      </c>
      <c r="CC21" s="81">
        <f t="shared" ref="CC21" si="67">BW21+365</f>
        <v>45411</v>
      </c>
      <c r="CD21" s="39">
        <v>9125</v>
      </c>
      <c r="CE21" s="39">
        <f>CD21*0.205</f>
        <v>1870.625</v>
      </c>
      <c r="CF21" s="39">
        <f>CE21-520</f>
        <v>1350.625</v>
      </c>
      <c r="CG21" s="40">
        <v>9.25</v>
      </c>
      <c r="CI21" s="81">
        <f t="shared" ref="CI21" si="68">CC21+365</f>
        <v>45776</v>
      </c>
      <c r="CJ21" s="39"/>
      <c r="CK21" s="39"/>
      <c r="CL21" s="39"/>
      <c r="CM21" s="40"/>
      <c r="CO21" s="81">
        <v>45291</v>
      </c>
      <c r="CP21" s="41">
        <f t="shared" ref="CP21" si="69">IF(AND(NOT(ISBLANK(BX21)),NOT(ISBLANK(CD21))),($AQ21/12)*BX21+((12-$AQ21)/12)*CD21,"")</f>
        <v>8975</v>
      </c>
      <c r="CQ21" s="41">
        <f t="shared" ref="CQ21" si="70">IF(AND(NOT(ISBLANK(BY21)),NOT(ISBLANK(CE21))),($AQ21/12)*BY21+((12-$AQ21)/12)*CE21,"")</f>
        <v>1816.7416666666666</v>
      </c>
      <c r="CR21" s="41">
        <f t="shared" ref="CR21" si="71">IF(AND(NOT(ISBLANK(BZ21)),NOT(ISBLANK(CF21))),($AQ21/12)*BZ21+((12-$AQ21)/12)*CF21,"")</f>
        <v>1308.4083333333333</v>
      </c>
      <c r="CS21" s="42">
        <f t="shared" ref="CS21" si="72">IF(AND(NOT(ISBLANK(CA21)),NOT(ISBLANK(CG21))),($AQ21/12)*CA21+((12-$AQ21)/12)*CG21,"")</f>
        <v>8.7999999999999989</v>
      </c>
      <c r="CU21" s="81">
        <v>45657</v>
      </c>
      <c r="CV21" s="41"/>
      <c r="CW21" s="41"/>
      <c r="CX21" s="41"/>
      <c r="CY21" s="42"/>
    </row>
    <row r="22" spans="2:103">
      <c r="B22" s="67"/>
      <c r="C22" s="68"/>
      <c r="D22" s="68"/>
      <c r="E22" s="67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  <c r="S22" s="71"/>
      <c r="T22" s="69"/>
      <c r="U22" s="69"/>
      <c r="V22" s="69"/>
      <c r="W22" s="69" t="str">
        <f t="shared" si="12"/>
        <v>NA</v>
      </c>
      <c r="Z22" s="36"/>
      <c r="AA22" s="36"/>
      <c r="AB22" s="37"/>
      <c r="AC22" s="34"/>
      <c r="AD22" s="54"/>
      <c r="AE22" s="54"/>
      <c r="AF22" s="54"/>
      <c r="AG22" s="92"/>
      <c r="AH22" s="93"/>
      <c r="AI22" s="93"/>
      <c r="AJ22" s="93"/>
      <c r="AK22" s="39"/>
      <c r="AL22" s="39"/>
      <c r="AM22" s="39"/>
      <c r="AN22" s="39"/>
      <c r="AO22" s="50"/>
      <c r="AP22" s="50"/>
      <c r="AQ22" s="86"/>
      <c r="AR22" s="34"/>
      <c r="AS22" s="39"/>
      <c r="AT22" s="39"/>
      <c r="AU22" s="39"/>
      <c r="AV22" s="50"/>
      <c r="AW22" s="50"/>
      <c r="AX22" s="36"/>
      <c r="AZ22" s="34"/>
      <c r="BA22" s="39"/>
      <c r="BB22" s="39"/>
      <c r="BC22" s="39"/>
      <c r="BD22" s="50"/>
      <c r="BE22" s="50"/>
      <c r="BF22" s="40"/>
      <c r="BH22" s="34"/>
      <c r="BI22" s="39"/>
      <c r="BJ22" s="39"/>
      <c r="BK22" s="39"/>
      <c r="BL22" s="50"/>
      <c r="BM22" s="50"/>
      <c r="BN22" s="40"/>
      <c r="BP22" s="41"/>
      <c r="BQ22" s="41"/>
      <c r="BR22" s="41"/>
      <c r="BS22" s="41"/>
      <c r="BT22" s="41"/>
      <c r="BU22" s="42"/>
      <c r="BW22" s="81"/>
      <c r="BX22" s="39"/>
      <c r="BY22" s="39"/>
      <c r="BZ22" s="39"/>
      <c r="CA22" s="40"/>
      <c r="CC22" s="81"/>
      <c r="CD22" s="39"/>
      <c r="CE22" s="39"/>
      <c r="CF22" s="39"/>
      <c r="CG22" s="40"/>
      <c r="CI22" s="81"/>
      <c r="CJ22" s="39"/>
      <c r="CK22" s="39"/>
      <c r="CL22" s="39"/>
      <c r="CM22" s="40"/>
      <c r="CO22" s="81"/>
      <c r="CP22" s="41"/>
      <c r="CQ22" s="41"/>
      <c r="CR22" s="41"/>
      <c r="CS22" s="42"/>
      <c r="CU22" s="81"/>
      <c r="CV22" s="41"/>
      <c r="CW22" s="41"/>
      <c r="CX22" s="41"/>
      <c r="CY22" s="42"/>
    </row>
    <row r="23" spans="2:103">
      <c r="B23" s="67"/>
      <c r="C23" s="72"/>
      <c r="D23" s="72"/>
      <c r="E23" s="67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0"/>
      <c r="S23" s="67"/>
      <c r="T23" s="73"/>
      <c r="U23" s="73"/>
      <c r="V23" s="73"/>
      <c r="W23" s="73"/>
      <c r="AD23" s="55"/>
      <c r="AE23" s="55"/>
      <c r="AF23" s="55"/>
      <c r="AG23" s="55"/>
      <c r="AH23" s="55"/>
      <c r="AI23" s="55"/>
      <c r="AJ23" s="55"/>
      <c r="AN23" s="52"/>
      <c r="BW23" s="91"/>
    </row>
    <row r="24" spans="2:103">
      <c r="B24" s="74" t="s">
        <v>200</v>
      </c>
      <c r="C24" s="75"/>
      <c r="D24" s="75"/>
      <c r="E24" s="76"/>
      <c r="F24" s="77">
        <f>IF(ISERROR(MIN(F13:F22)),"NA",MIN(F13:F22))</f>
        <v>1.8358776941957238</v>
      </c>
      <c r="G24" s="77">
        <f>IF(ISERROR(MIN(G13:G22)),"NA",MIN(G13:G22))</f>
        <v>1.7967221538366198</v>
      </c>
      <c r="H24" s="77"/>
      <c r="I24" s="77"/>
      <c r="J24" s="77">
        <f>IF(ISERROR(MIN(J13:J22)),"NA",MIN(J13:J22))</f>
        <v>11.005853264356142</v>
      </c>
      <c r="K24" s="77">
        <f>IF(ISERROR(MIN(K13:K22)),"NA",MIN(K13:K22))</f>
        <v>10.227917774809329</v>
      </c>
      <c r="L24" s="77"/>
      <c r="M24" s="77"/>
      <c r="N24" s="77">
        <f>IF(ISERROR(MIN(N13:N22)),"NA",MIN(N13:N22))</f>
        <v>14.618036042569688</v>
      </c>
      <c r="O24" s="77">
        <f>IF(ISERROR(MIN(O13:O22)),"NA",MIN(O13:O22))</f>
        <v>12.64738982712765</v>
      </c>
      <c r="P24" s="77"/>
      <c r="Q24" s="77"/>
      <c r="R24" s="78">
        <f>IF(ISERROR(MIN(R13:R22)),"NA",MIN(R13:R22))</f>
        <v>0.12426343262749256</v>
      </c>
      <c r="S24" s="77">
        <f>IF(ISERROR(MIN(S13:S22)),"NA",MIN(S13:S22))</f>
        <v>1.8184263806040388</v>
      </c>
      <c r="T24" s="77"/>
      <c r="U24" s="77">
        <f>IF(ISERROR(MIN(U13:U22)),"NA",MIN(U13:U22))</f>
        <v>6.7304097771387497</v>
      </c>
      <c r="V24" s="77">
        <f>IF(ISERROR(MIN(V13:V22)),"NA",MIN(V13:V22))</f>
        <v>13.15609756097561</v>
      </c>
      <c r="W24" s="77"/>
      <c r="AD24" s="55"/>
      <c r="AE24" s="55"/>
      <c r="AF24" s="55"/>
      <c r="AG24" s="55"/>
      <c r="AH24" s="55"/>
      <c r="AI24" s="55"/>
      <c r="AJ24" s="55"/>
      <c r="AL24" s="52"/>
      <c r="AN24" s="51"/>
      <c r="BW24" s="91"/>
    </row>
    <row r="25" spans="2:103">
      <c r="B25" s="74" t="s">
        <v>201</v>
      </c>
      <c r="C25" s="75"/>
      <c r="D25" s="75"/>
      <c r="E25" s="76"/>
      <c r="F25" s="77">
        <f>IF(ISERROR(MAX(F13:F22)),"NA",MAX(F13:F22))</f>
        <v>5.0545726339231818</v>
      </c>
      <c r="G25" s="77">
        <f>IF(ISERROR(MAX(G13:G22)),"NA",MAX(G13:G22))</f>
        <v>4.6197437120350875</v>
      </c>
      <c r="H25" s="77"/>
      <c r="I25" s="77"/>
      <c r="J25" s="77">
        <f>IF(ISERROR(MAX(J13:J22)),"NA",MAX(J13:J22))</f>
        <v>21.900359596168823</v>
      </c>
      <c r="K25" s="77">
        <f>IF(ISERROR(MAX(K13:K22)),"NA",MAX(K13:K22))</f>
        <v>17.175749309456389</v>
      </c>
      <c r="L25" s="77"/>
      <c r="M25" s="77"/>
      <c r="N25" s="77">
        <f>IF(ISERROR(MAX(N13:N22)),"NA",MAX(N13:N22))</f>
        <v>28.072380490506625</v>
      </c>
      <c r="O25" s="77">
        <f>IF(ISERROR(MAX(O13:O22)),"NA",MAX(O13:O22))</f>
        <v>20.824987831295566</v>
      </c>
      <c r="P25" s="77"/>
      <c r="Q25" s="77"/>
      <c r="R25" s="78">
        <f>IF(ISERROR(MAX(R13:R22)),"NA",MAX(R13:R22))</f>
        <v>0.25288520828122646</v>
      </c>
      <c r="S25" s="77">
        <f>IF(ISERROR(MAX(S13:S22)),"NA",MAX(S13:S22))</f>
        <v>5.8054624334450802</v>
      </c>
      <c r="T25" s="77"/>
      <c r="U25" s="77">
        <f>IF(ISERROR(MAX(U13:U22)),"NA",MAX(U13:U22))</f>
        <v>39.867346938775519</v>
      </c>
      <c r="V25" s="77">
        <f>IF(ISERROR(MAX(V13:V22)),"NA",MAX(V13:V22))</f>
        <v>27.628235294117648</v>
      </c>
      <c r="W25" s="77"/>
      <c r="AD25" s="55"/>
      <c r="AE25" s="55"/>
      <c r="AF25" s="55"/>
      <c r="AG25" s="55"/>
      <c r="AH25" s="55"/>
      <c r="AI25" s="55"/>
      <c r="AJ25" s="55"/>
      <c r="AL25" s="52"/>
      <c r="AN25" s="51"/>
      <c r="BW25" s="91"/>
    </row>
    <row r="26" spans="2:103">
      <c r="B26" s="74" t="s">
        <v>74</v>
      </c>
      <c r="C26" s="75"/>
      <c r="D26" s="75"/>
      <c r="E26" s="76"/>
      <c r="F26" s="77">
        <f>IF(ISERROR(MEDIAN(F13:F22)),"NA",MEDIAN(F13:F22))</f>
        <v>2.5195853878846859</v>
      </c>
      <c r="G26" s="77">
        <f>IF(ISERROR(MEDIAN(G13:G22)),"NA",MEDIAN(G13:G22))</f>
        <v>2.2933139870339829</v>
      </c>
      <c r="H26" s="77"/>
      <c r="I26" s="77"/>
      <c r="J26" s="77">
        <f>IF(ISERROR(MEDIAN(J13:J22)),"NA",MEDIAN(J13:J22))</f>
        <v>12.72912775636089</v>
      </c>
      <c r="K26" s="77">
        <f>IF(ISERROR(MEDIAN(K13:K22)),"NA",MEDIAN(K13:K22))</f>
        <v>11.329344953811999</v>
      </c>
      <c r="L26" s="77"/>
      <c r="M26" s="77"/>
      <c r="N26" s="77">
        <f>IF(ISERROR(MEDIAN(N13:N22)),"NA",MEDIAN(N13:N22))</f>
        <v>17.500997774709944</v>
      </c>
      <c r="O26" s="77">
        <f>IF(ISERROR(MEDIAN(O13:O22)),"NA",MEDIAN(O13:O22))</f>
        <v>15.562269266857665</v>
      </c>
      <c r="P26" s="77"/>
      <c r="Q26" s="77"/>
      <c r="R26" s="78">
        <f>IF(ISERROR(MEDIAN(R13:R22)),"NA",MEDIAN(R13:R22))</f>
        <v>0.17672171666104933</v>
      </c>
      <c r="S26" s="77">
        <f>IF(ISERROR(MEDIAN(S13:S22)),"NA",MEDIAN(S13:S22))</f>
        <v>3.2277238611057668</v>
      </c>
      <c r="T26" s="77"/>
      <c r="U26" s="77">
        <f>IF(ISERROR(MEDIAN(U13:U22)),"NA",MEDIAN(U13:U22))</f>
        <v>25.503546099290777</v>
      </c>
      <c r="V26" s="77">
        <f>IF(ISERROR(MEDIAN(V13:V22)),"NA",MEDIAN(V13:V22))</f>
        <v>16.919318181818181</v>
      </c>
      <c r="W26" s="77"/>
      <c r="AD26" s="55"/>
      <c r="AE26" s="55"/>
      <c r="AF26" s="55"/>
      <c r="AG26" s="55"/>
      <c r="AH26" s="55"/>
      <c r="AI26" s="55"/>
      <c r="AJ26" s="55"/>
      <c r="AL26" s="52"/>
      <c r="AN26" s="51"/>
      <c r="BW26" s="91"/>
    </row>
    <row r="27" spans="2:103">
      <c r="B27" s="74" t="s">
        <v>75</v>
      </c>
      <c r="C27" s="75"/>
      <c r="D27" s="75"/>
      <c r="E27" s="76"/>
      <c r="F27" s="77">
        <f>IF(ISERROR(AVERAGE(F13:F22)),"NA",AVERAGE(F13:F22))</f>
        <v>2.7811741089297799</v>
      </c>
      <c r="G27" s="77">
        <f>IF(ISERROR(AVERAGE(G13:G22)),"NA",AVERAGE(G13:G22))</f>
        <v>2.6375507510648477</v>
      </c>
      <c r="H27" s="77"/>
      <c r="I27" s="77"/>
      <c r="J27" s="77">
        <f>IF(ISERROR(AVERAGE(J13:J22)),"NA",AVERAGE(J13:J22))</f>
        <v>15.061985768020033</v>
      </c>
      <c r="K27" s="77">
        <f>IF(ISERROR(AVERAGE(K13:K22)),"NA",AVERAGE(K13:K22))</f>
        <v>12.982992143614881</v>
      </c>
      <c r="L27" s="77"/>
      <c r="M27" s="77"/>
      <c r="N27" s="77">
        <f>IF(ISERROR(AVERAGE(N13:N22)),"NA",AVERAGE(N13:N22))</f>
        <v>19.012112639372262</v>
      </c>
      <c r="O27" s="77">
        <f>IF(ISERROR(AVERAGE(O13:O22)),"NA",AVERAGE(O13:O22))</f>
        <v>16.031095612316999</v>
      </c>
      <c r="P27" s="77"/>
      <c r="Q27" s="77"/>
      <c r="R27" s="78">
        <f>IF(ISERROR(AVERAGE(R13:R22)),"NA",AVERAGE(R13:R22))</f>
        <v>0.18458346796410222</v>
      </c>
      <c r="S27" s="77">
        <f>IF(ISERROR(AVERAGE(S13:S22)),"NA",AVERAGE(S13:S22))</f>
        <v>3.5294861454404436</v>
      </c>
      <c r="T27" s="77"/>
      <c r="U27" s="77">
        <f>IF(ISERROR(AVERAGE(U13:U22)),"NA",AVERAGE(U13:U22))</f>
        <v>24.672826624364571</v>
      </c>
      <c r="V27" s="77">
        <f>IF(ISERROR(AVERAGE(V13:V22)),"NA",AVERAGE(V13:V22))</f>
        <v>19.373683501157881</v>
      </c>
      <c r="W27" s="77"/>
      <c r="AD27" s="55"/>
      <c r="AE27" s="55"/>
      <c r="AF27" s="55"/>
      <c r="AG27" s="55"/>
      <c r="AH27" s="55"/>
      <c r="AI27" s="55"/>
      <c r="AJ27" s="55"/>
      <c r="BW27" s="91"/>
    </row>
    <row r="28" spans="2:103">
      <c r="B28" s="74" t="s">
        <v>204</v>
      </c>
      <c r="C28" s="75"/>
      <c r="D28" s="75"/>
      <c r="E28" s="76"/>
      <c r="F28" s="77">
        <f>(SUM(F13:F22)-F24-F25)/(COUNT(F13:F22)-2)</f>
        <v>2.5914452360355873</v>
      </c>
      <c r="G28" s="77">
        <f>(SUM(G13:G22)-G24-G25)/(COUNT(G13:G22)-2)</f>
        <v>2.4744986991017028</v>
      </c>
      <c r="H28" s="77"/>
      <c r="I28" s="77"/>
      <c r="J28" s="77">
        <f>(SUM(J13:J22)-J24-J25)/(COUNT(J13:J22)-2)</f>
        <v>14.664522721665048</v>
      </c>
      <c r="K28" s="77">
        <f>(SUM(K13:K22)-K24-K25)/(COUNT(K13:K22)-2)</f>
        <v>12.777608886895459</v>
      </c>
      <c r="L28" s="77"/>
      <c r="M28" s="77"/>
      <c r="N28" s="77">
        <f>(SUM(N13:N22)-N24-N25)/(COUNT(N13:N22)-2)</f>
        <v>18.345513888753437</v>
      </c>
      <c r="O28" s="77">
        <f>(SUM(O13:O22)-O24-O25)/(COUNT(O13:O22)-2)</f>
        <v>15.829640407489965</v>
      </c>
      <c r="P28" s="77"/>
      <c r="Q28" s="77"/>
      <c r="R28" s="78">
        <f>(SUM(R13:R22)-R24-R25)/(COUNT(R13:R22)-2)</f>
        <v>0.18344322439545729</v>
      </c>
      <c r="S28" s="77">
        <f>(SUM(S13:S22)-S24-S25)/(COUNT(S13:S22)-2)</f>
        <v>3.4487837849878393</v>
      </c>
      <c r="T28" s="77"/>
      <c r="U28" s="77">
        <f>(SUM(U13:U22)-U24-U25)/(COUNT(U13:U22)-2)</f>
        <v>25.065383271909553</v>
      </c>
      <c r="V28" s="77">
        <f>(SUM(V13:V22)-V24-V25)/(COUNT(V13:V22)-2)</f>
        <v>19.082688379332524</v>
      </c>
      <c r="W28" s="77"/>
      <c r="AD28" s="55"/>
      <c r="AE28" s="55"/>
      <c r="AF28" s="55"/>
      <c r="AG28" s="55"/>
      <c r="AH28" s="55"/>
      <c r="AI28" s="55"/>
      <c r="AJ28" s="55"/>
      <c r="BW28" s="91"/>
    </row>
    <row r="29" spans="2:103">
      <c r="B29" s="55"/>
      <c r="C29" s="79"/>
      <c r="D29" s="79"/>
      <c r="E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AD29" s="55"/>
      <c r="AE29" s="55"/>
      <c r="AF29" s="55"/>
      <c r="AG29" s="55"/>
      <c r="AH29" s="55"/>
      <c r="AI29" s="55"/>
      <c r="AJ29" s="55"/>
      <c r="BW29" s="91"/>
    </row>
    <row r="30" spans="2:103">
      <c r="B30" s="3" t="str">
        <f>""&amp;Data!C3&amp;" - Valuation Summary"</f>
        <v>Serial Co. - Valuation Summary</v>
      </c>
      <c r="C30" s="79"/>
      <c r="D30" s="79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AD30" s="55"/>
      <c r="AE30" s="55"/>
      <c r="AF30" s="55"/>
      <c r="AG30" s="55"/>
      <c r="AH30" s="55"/>
      <c r="AI30" s="55"/>
      <c r="AJ30" s="55"/>
      <c r="BW30" s="91"/>
    </row>
    <row r="31" spans="2:103">
      <c r="B31" s="55"/>
      <c r="C31" s="79"/>
      <c r="D31" s="79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AD31" s="55"/>
      <c r="AE31" s="55"/>
      <c r="AF31" s="55"/>
      <c r="AG31" s="55"/>
      <c r="AH31" s="55"/>
      <c r="AI31" s="55"/>
      <c r="AJ31" s="55"/>
      <c r="BW31" s="91"/>
    </row>
    <row r="32" spans="2:103">
      <c r="B32" s="67" t="str">
        <f>""&amp;Data!C3&amp;" - Current Valuation"</f>
        <v>Serial Co. - Current Valuation</v>
      </c>
      <c r="C32" s="68">
        <f t="shared" ref="C32" si="73">IF($C$5="Yes",AB32*AJ32,AB32*AD32)</f>
        <v>25650</v>
      </c>
      <c r="D32" s="68">
        <f>C32+AO32</f>
        <v>28982</v>
      </c>
      <c r="E32" s="67"/>
      <c r="F32" s="69">
        <f>IF(ISERROR($D32/BP32),"NA",$D32/BP32)</f>
        <v>1.7768377168781804</v>
      </c>
      <c r="G32" s="69">
        <f>IF(ISERROR($D32/CP32),"NA",$D32/CP32)</f>
        <v>1.7591502276176025</v>
      </c>
      <c r="H32" s="69" t="str">
        <f>IF(ISERROR($D32/CV32),"NA",$D32/CV32)</f>
        <v>NA</v>
      </c>
      <c r="I32" s="69"/>
      <c r="J32" s="69">
        <f>IF(ISERROR($D32/BS32),"NA",IF(BS32&gt;0,$D32/BS32,"NM"))</f>
        <v>13.612963832785345</v>
      </c>
      <c r="K32" s="69">
        <f>IF(ISERROR($D32/CQ32),"NA",IF(CQ32&gt;0,$D32/CQ32,"NM"))</f>
        <v>11.349356307210337</v>
      </c>
      <c r="L32" s="69" t="str">
        <f>IF(ISERROR($D32/CW32),"NA",IF(CW32&gt;0,$D32/CW32,"NM"))</f>
        <v>NA</v>
      </c>
      <c r="M32" s="69"/>
      <c r="N32" s="69">
        <f>IF(ISERROR($D32/BT32),"NA",IF(BT32&gt;0,$D32/BT32,"NM"))</f>
        <v>17.554209569957603</v>
      </c>
      <c r="O32" s="69">
        <f>IF(ISERROR($D32/CR32),"NA",IF(CR32&gt;0,$D32/CR32,"NM"))</f>
        <v>14.537337764123142</v>
      </c>
      <c r="P32" s="69" t="str">
        <f>IF(ISERROR($D32/CX32),"NA",IF(CX32&gt;0,$D32/CX32,"NM"))</f>
        <v>NA</v>
      </c>
      <c r="Q32" s="69"/>
      <c r="R32" s="70">
        <f t="shared" ref="R32" si="74">IF(ISERROR(BS32/BP32),"NA",BS32/BP32)</f>
        <v>0.13052541229844891</v>
      </c>
      <c r="S32" s="71">
        <f>IF(ISERROR(AK32/BS32),"NA",AK32/BS32)</f>
        <v>1.5298262094880226</v>
      </c>
      <c r="T32" s="69"/>
      <c r="U32" s="69">
        <f>IF(ISERROR($AB32/BU32),"NA",IF(BU32&gt;0,$AB32/BU32,"NM"))</f>
        <v>21.48997134670487</v>
      </c>
      <c r="V32" s="69">
        <f>IF(ISERROR($AB32/CS32),"NA",IF(CS32&gt;0,$AB32/CS32,"NM"))</f>
        <v>17.647058823529413</v>
      </c>
      <c r="W32" s="69" t="str">
        <f>IF(ISERROR($AB32/CY32),"NA",IF(CY32&gt;0,$AB32/CY32,"NM"))</f>
        <v>NA</v>
      </c>
      <c r="Z32" s="305" t="str">
        <f>Data!C3</f>
        <v>Serial Co.</v>
      </c>
      <c r="AA32" s="305"/>
      <c r="AB32" s="92">
        <f>Data!C6</f>
        <v>75</v>
      </c>
      <c r="AC32" s="306">
        <f>Data!C4</f>
        <v>44926</v>
      </c>
      <c r="AD32" s="93">
        <f>Data!C7</f>
        <v>340</v>
      </c>
      <c r="AE32" s="93">
        <f>Data!C8</f>
        <v>15</v>
      </c>
      <c r="AF32" s="93">
        <f>Data!C9</f>
        <v>65</v>
      </c>
      <c r="AG32" s="94">
        <f>IF(ISERROR(IF(AF32&lt;AB32,AE32,0)),0,IF(AF32&lt;AB32,AE32,0))</f>
        <v>15</v>
      </c>
      <c r="AH32" s="93">
        <f>AG32*AF32</f>
        <v>975</v>
      </c>
      <c r="AI32" s="93">
        <f>+IF(ISERROR(0-AH32/AB32),0,-AH32/AB32)</f>
        <v>-13</v>
      </c>
      <c r="AJ32" s="93">
        <f>AD32+AG32+AI32</f>
        <v>342</v>
      </c>
      <c r="AK32" s="41">
        <f>Data!H41+Data!H46</f>
        <v>3257</v>
      </c>
      <c r="AL32" s="41">
        <f>Data!H51</f>
        <v>450</v>
      </c>
      <c r="AM32" s="41">
        <v>0</v>
      </c>
      <c r="AN32" s="41">
        <f>Data!H32</f>
        <v>375</v>
      </c>
      <c r="AO32" s="50">
        <f t="shared" ref="AO32" si="75">AK32+AL32+AM32-AN32</f>
        <v>3332</v>
      </c>
      <c r="AP32" s="50"/>
      <c r="AQ32" s="86">
        <f>MONTH(AR32)</f>
        <v>12</v>
      </c>
      <c r="AR32" s="34">
        <v>44926</v>
      </c>
      <c r="AS32" s="39">
        <v>16311</v>
      </c>
      <c r="AT32" s="39">
        <f>10680+3502+478</f>
        <v>14660</v>
      </c>
      <c r="AU32" s="36">
        <v>478</v>
      </c>
      <c r="AV32" s="50">
        <f t="shared" ref="AV32" si="76">AS32-AT32+AU32</f>
        <v>2129</v>
      </c>
      <c r="AW32" s="50">
        <f t="shared" ref="AW32" si="77">AV32-AU32</f>
        <v>1651</v>
      </c>
      <c r="AX32" s="36">
        <v>3.49</v>
      </c>
      <c r="AZ32" s="34">
        <v>44926</v>
      </c>
      <c r="BA32" s="39"/>
      <c r="BB32" s="39"/>
      <c r="BC32" s="39"/>
      <c r="BD32" s="50">
        <f t="shared" ref="BD32" si="78">BA32-BB32+BC32</f>
        <v>0</v>
      </c>
      <c r="BE32" s="50">
        <f t="shared" ref="BE32" si="79">BD32-BC32</f>
        <v>0</v>
      </c>
      <c r="BF32" s="40"/>
      <c r="BH32" s="34">
        <v>44926</v>
      </c>
      <c r="BI32" s="39"/>
      <c r="BJ32" s="39"/>
      <c r="BK32" s="39"/>
      <c r="BL32" s="50">
        <f t="shared" ref="BL32" si="80">BI32-BJ32+BK32</f>
        <v>0</v>
      </c>
      <c r="BM32" s="50">
        <f t="shared" ref="BM32" si="81">BL32-BK32</f>
        <v>0</v>
      </c>
      <c r="BN32" s="40"/>
      <c r="BP32" s="41">
        <f t="shared" ref="BP32" si="82">AS32-BA32+BI32</f>
        <v>16311</v>
      </c>
      <c r="BQ32" s="41">
        <f t="shared" ref="BQ32" si="83">AT32-BB32+BJ32</f>
        <v>14660</v>
      </c>
      <c r="BR32" s="41">
        <f t="shared" ref="BR32" si="84">AU32-BC32+BK32</f>
        <v>478</v>
      </c>
      <c r="BS32" s="41">
        <f t="shared" ref="BS32" si="85">AV32-BD32+BL32</f>
        <v>2129</v>
      </c>
      <c r="BT32" s="41">
        <f t="shared" ref="BT32" si="86">AW32-BE32+BM32</f>
        <v>1651</v>
      </c>
      <c r="BU32" s="42">
        <f t="shared" ref="BU32" si="87">AX32-BF32+BN32</f>
        <v>3.49</v>
      </c>
      <c r="BW32" s="81">
        <v>45291</v>
      </c>
      <c r="BX32" s="39">
        <v>16475</v>
      </c>
      <c r="BY32" s="39">
        <f>BX32*0.155</f>
        <v>2553.625</v>
      </c>
      <c r="BZ32" s="39">
        <f>BY32-560</f>
        <v>1993.625</v>
      </c>
      <c r="CA32" s="40">
        <f>4.25</f>
        <v>4.25</v>
      </c>
      <c r="CC32" s="81">
        <f t="shared" ref="CC32" si="88">BW32+365</f>
        <v>45656</v>
      </c>
      <c r="CD32" s="39">
        <v>16850</v>
      </c>
      <c r="CE32" s="39">
        <f>CD32*0.165</f>
        <v>2780.25</v>
      </c>
      <c r="CF32" s="39">
        <f>CE32-600</f>
        <v>2180.25</v>
      </c>
      <c r="CG32" s="40">
        <v>4.9000000000000004</v>
      </c>
      <c r="CI32" s="81">
        <f t="shared" ref="CI32" si="89">CC32+365</f>
        <v>46021</v>
      </c>
      <c r="CJ32" s="39"/>
      <c r="CK32" s="39"/>
      <c r="CL32" s="39"/>
      <c r="CM32" s="40"/>
      <c r="CO32" s="81">
        <v>45291</v>
      </c>
      <c r="CP32" s="41">
        <f t="shared" ref="CP32" si="90">IF(AND(NOT(ISBLANK(BX32)),NOT(ISBLANK(CD32))),($AQ32/12)*BX32+((12-$AQ32)/12)*CD32,"")</f>
        <v>16475</v>
      </c>
      <c r="CQ32" s="41">
        <f t="shared" ref="CQ32" si="91">IF(AND(NOT(ISBLANK(BY32)),NOT(ISBLANK(CE32))),($AQ32/12)*BY32+((12-$AQ32)/12)*CE32,"")</f>
        <v>2553.625</v>
      </c>
      <c r="CR32" s="41">
        <f t="shared" ref="CR32" si="92">IF(AND(NOT(ISBLANK(BZ32)),NOT(ISBLANK(CF32))),($AQ32/12)*BZ32+((12-$AQ32)/12)*CF32,"")</f>
        <v>1993.625</v>
      </c>
      <c r="CS32" s="42">
        <f t="shared" ref="CS32" si="93">IF(AND(NOT(ISBLANK(CA32)),NOT(ISBLANK(CG32))),($AQ32/12)*CA32+((12-$AQ32)/12)*CG32,"")</f>
        <v>4.25</v>
      </c>
      <c r="CU32" s="81">
        <v>45657</v>
      </c>
      <c r="CV32" s="41" t="str">
        <f t="shared" ref="CV32" si="94">IF(AND(NOT(ISBLANK(CD32)),NOT(ISBLANK(CJ32))),($AQ32/12)*CD32+((12-$AQ32)/12)*CJ32,"")</f>
        <v/>
      </c>
      <c r="CW32" s="41" t="str">
        <f t="shared" ref="CW32" si="95">IF(AND(NOT(ISBLANK(CE32)),NOT(ISBLANK(CK32))),($AQ32/12)*CE32+((12-$AQ32)/12)*CK32,"")</f>
        <v/>
      </c>
      <c r="CX32" s="41" t="str">
        <f t="shared" ref="CX32" si="96">IF(AND(NOT(ISBLANK(CF32)),NOT(ISBLANK(CL32))),($AQ32/12)*CF32+((12-$AQ32)/12)*CL32,"")</f>
        <v/>
      </c>
      <c r="CY32" s="42" t="str">
        <f t="shared" ref="CY32" si="97">IF(AND(NOT(ISBLANK(CG32)),NOT(ISBLANK(CM32))),($AQ32/12)*CG32+((12-$AQ32)/12)*CM32,"")</f>
        <v/>
      </c>
    </row>
    <row r="33" spans="2:103">
      <c r="B33" s="67"/>
      <c r="C33" s="68"/>
      <c r="D33" s="68"/>
      <c r="E33" s="67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71"/>
      <c r="T33" s="69"/>
      <c r="U33" s="69"/>
      <c r="V33" s="69"/>
      <c r="W33" s="69"/>
      <c r="Z33" s="82"/>
      <c r="AA33" s="82"/>
      <c r="AB33" s="83"/>
      <c r="AC33" s="35"/>
      <c r="AD33" s="84"/>
      <c r="AE33" s="84"/>
      <c r="AF33" s="84"/>
      <c r="AG33" s="94"/>
      <c r="AH33" s="93"/>
      <c r="AI33" s="93"/>
      <c r="AJ33" s="93"/>
      <c r="AK33" s="85"/>
      <c r="AL33" s="85"/>
      <c r="AM33" s="85"/>
      <c r="AN33" s="85"/>
      <c r="AO33" s="50"/>
      <c r="AP33" s="50"/>
      <c r="AQ33" s="86"/>
      <c r="AR33" s="35"/>
      <c r="AS33" s="85"/>
      <c r="AT33" s="85"/>
      <c r="AU33" s="82"/>
      <c r="AV33" s="50"/>
      <c r="AW33" s="50"/>
      <c r="AX33" s="82"/>
      <c r="AZ33" s="35"/>
      <c r="BA33" s="85"/>
      <c r="BB33" s="85"/>
      <c r="BC33" s="85"/>
      <c r="BD33" s="50"/>
      <c r="BE33" s="50"/>
      <c r="BF33" s="87"/>
      <c r="BH33" s="35"/>
      <c r="BI33" s="85"/>
      <c r="BJ33" s="85"/>
      <c r="BK33" s="85"/>
      <c r="BL33" s="50"/>
      <c r="BM33" s="50"/>
      <c r="BN33" s="87"/>
      <c r="BP33" s="41"/>
      <c r="BQ33" s="41"/>
      <c r="BR33" s="41"/>
      <c r="BS33" s="41"/>
      <c r="BT33" s="41"/>
      <c r="BU33" s="42"/>
      <c r="BW33" s="112"/>
      <c r="BX33" s="85"/>
      <c r="BY33" s="85"/>
      <c r="BZ33" s="85"/>
      <c r="CA33" s="87"/>
      <c r="CC33" s="88"/>
      <c r="CD33" s="85"/>
      <c r="CE33" s="85"/>
      <c r="CF33" s="85"/>
      <c r="CG33" s="87"/>
      <c r="CI33" s="88"/>
      <c r="CJ33" s="85"/>
      <c r="CK33" s="85"/>
      <c r="CL33" s="85"/>
      <c r="CM33" s="87"/>
      <c r="CO33" s="88"/>
      <c r="CP33" s="41"/>
      <c r="CQ33" s="41"/>
      <c r="CR33" s="41"/>
      <c r="CS33" s="42"/>
      <c r="CU33" s="88"/>
      <c r="CV33" s="41"/>
      <c r="CW33" s="41"/>
      <c r="CX33" s="41"/>
      <c r="CY33" s="42"/>
    </row>
    <row r="34" spans="2:103">
      <c r="B34" s="67" t="str">
        <f>""&amp;Data!C3&amp;" - Metric"</f>
        <v>Serial Co. - Metric</v>
      </c>
      <c r="C34" s="80"/>
      <c r="D34" s="80"/>
      <c r="E34" s="67"/>
      <c r="F34" s="89">
        <f>BP32</f>
        <v>16311</v>
      </c>
      <c r="G34" s="89">
        <f>CP32</f>
        <v>16475</v>
      </c>
      <c r="H34" s="89" t="str">
        <f>CV32</f>
        <v/>
      </c>
      <c r="I34" s="89"/>
      <c r="J34" s="89">
        <f>BS32</f>
        <v>2129</v>
      </c>
      <c r="K34" s="89">
        <f>CQ32</f>
        <v>2553.625</v>
      </c>
      <c r="L34" s="89" t="str">
        <f>CW32</f>
        <v/>
      </c>
      <c r="M34" s="89"/>
      <c r="N34" s="89">
        <f>BT32</f>
        <v>1651</v>
      </c>
      <c r="O34" s="89">
        <f>CR32</f>
        <v>1993.625</v>
      </c>
      <c r="P34" s="89" t="str">
        <f>CX32</f>
        <v/>
      </c>
      <c r="Q34" s="89"/>
      <c r="R34" s="89"/>
      <c r="S34" s="89"/>
      <c r="T34" s="89"/>
      <c r="U34" s="90">
        <f>BU32</f>
        <v>3.49</v>
      </c>
      <c r="V34" s="90">
        <f>CS32</f>
        <v>4.25</v>
      </c>
      <c r="W34" s="90" t="str">
        <f>CY32</f>
        <v/>
      </c>
      <c r="Z34" s="82"/>
      <c r="AA34" s="82"/>
      <c r="AB34" s="83"/>
      <c r="AC34" s="35"/>
      <c r="AD34" s="84"/>
      <c r="AE34" s="84"/>
      <c r="AF34" s="84"/>
      <c r="AG34" s="84"/>
      <c r="AH34" s="84"/>
      <c r="AI34" s="84"/>
      <c r="AJ34" s="84"/>
      <c r="AL34" s="85"/>
      <c r="AM34" s="85"/>
      <c r="AN34" s="85"/>
      <c r="AO34" s="50"/>
      <c r="AP34" s="50"/>
      <c r="AQ34" s="86"/>
      <c r="AR34" s="35"/>
      <c r="AS34" s="82"/>
      <c r="AT34" s="82"/>
      <c r="AU34" s="82"/>
      <c r="AV34" s="50"/>
      <c r="AW34" s="50"/>
      <c r="AX34" s="82"/>
      <c r="AZ34" s="35"/>
      <c r="BA34" s="85"/>
      <c r="BB34" s="85"/>
      <c r="BC34" s="85"/>
      <c r="BD34" s="50"/>
      <c r="BE34" s="50"/>
      <c r="BF34" s="87"/>
      <c r="BH34" s="35"/>
      <c r="BI34" s="85"/>
      <c r="BJ34" s="85"/>
      <c r="BK34" s="85"/>
      <c r="BL34" s="50"/>
      <c r="BM34" s="50"/>
      <c r="BN34" s="87"/>
      <c r="BP34" s="41"/>
      <c r="BQ34" s="41"/>
      <c r="BR34" s="41"/>
      <c r="BS34" s="41"/>
      <c r="BT34" s="41"/>
      <c r="BU34" s="42"/>
      <c r="BW34" s="88"/>
      <c r="BX34" s="85"/>
      <c r="BY34" s="85"/>
      <c r="BZ34" s="85"/>
      <c r="CA34" s="87"/>
      <c r="CC34" s="88"/>
      <c r="CD34" s="85"/>
      <c r="CE34" s="85"/>
      <c r="CF34" s="85"/>
      <c r="CG34" s="87"/>
      <c r="CI34" s="35"/>
      <c r="CJ34" s="85"/>
      <c r="CK34" s="85"/>
      <c r="CL34" s="85"/>
      <c r="CM34" s="87"/>
      <c r="CO34" s="88"/>
      <c r="CP34" s="41"/>
      <c r="CQ34" s="41"/>
      <c r="CR34" s="41"/>
      <c r="CS34" s="42"/>
      <c r="CU34" s="88"/>
      <c r="CV34" s="41"/>
      <c r="CW34" s="41"/>
      <c r="CX34" s="41"/>
      <c r="CY34" s="42"/>
    </row>
    <row r="35" spans="2:103">
      <c r="B35" s="55"/>
      <c r="C35" s="55"/>
      <c r="D35" s="55"/>
      <c r="E35" s="55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5"/>
      <c r="R35" s="55"/>
      <c r="S35" s="55"/>
      <c r="T35" s="55"/>
      <c r="U35" s="50"/>
      <c r="V35" s="50"/>
      <c r="W35" s="50"/>
      <c r="AN35" s="51"/>
    </row>
    <row r="36" spans="2:103">
      <c r="B36" t="s">
        <v>196</v>
      </c>
      <c r="C36" s="55"/>
      <c r="D36" s="55"/>
      <c r="E36" s="55"/>
      <c r="F36" s="97">
        <f t="shared" ref="F36:H37" si="98">IF(ISERROR(F27*F$34),"NA",F27*F$34)</f>
        <v>45363.730890753643</v>
      </c>
      <c r="G36" s="97">
        <f t="shared" si="98"/>
        <v>43453.648623793364</v>
      </c>
      <c r="H36" s="97" t="str">
        <f t="shared" si="98"/>
        <v>NA</v>
      </c>
      <c r="I36" s="96"/>
      <c r="J36" s="97">
        <f t="shared" ref="J36:L37" si="99">IF(ISERROR(J27*J$34),"NA",J27*J$34)</f>
        <v>32066.967700114652</v>
      </c>
      <c r="K36" s="97">
        <f t="shared" si="99"/>
        <v>33153.693312738549</v>
      </c>
      <c r="L36" s="97" t="str">
        <f t="shared" si="99"/>
        <v>NA</v>
      </c>
      <c r="M36" s="96"/>
      <c r="N36" s="97">
        <f t="shared" ref="N36:P37" si="100">IF(ISERROR(N27*N$34),"NA",N27*N$34)</f>
        <v>31388.997967603606</v>
      </c>
      <c r="O36" s="97">
        <f t="shared" si="100"/>
        <v>31959.992990105478</v>
      </c>
      <c r="P36" s="97" t="str">
        <f t="shared" si="100"/>
        <v>NA</v>
      </c>
      <c r="Q36" s="55"/>
      <c r="R36" s="55"/>
      <c r="S36" s="55"/>
      <c r="T36" s="55"/>
      <c r="U36" s="50"/>
      <c r="V36" s="50"/>
      <c r="W36" s="50"/>
    </row>
    <row r="37" spans="2:103">
      <c r="B37" s="98" t="s">
        <v>202</v>
      </c>
      <c r="C37" s="98"/>
      <c r="D37" s="98"/>
      <c r="E37" s="98"/>
      <c r="F37" s="99">
        <f t="shared" si="98"/>
        <v>42269.063244976467</v>
      </c>
      <c r="G37" s="99">
        <f t="shared" si="98"/>
        <v>40767.366067700554</v>
      </c>
      <c r="H37" s="99" t="str">
        <f t="shared" si="98"/>
        <v>NA</v>
      </c>
      <c r="I37" s="100"/>
      <c r="J37" s="99">
        <f t="shared" si="99"/>
        <v>31220.768874424888</v>
      </c>
      <c r="K37" s="99">
        <f t="shared" si="99"/>
        <v>32629.221493798417</v>
      </c>
      <c r="L37" s="99" t="str">
        <f t="shared" si="99"/>
        <v>NA</v>
      </c>
      <c r="M37" s="100"/>
      <c r="N37" s="99">
        <f t="shared" si="100"/>
        <v>30288.443430331925</v>
      </c>
      <c r="O37" s="99">
        <f t="shared" si="100"/>
        <v>31558.366857382181</v>
      </c>
      <c r="P37" s="99" t="str">
        <f t="shared" si="100"/>
        <v>NA</v>
      </c>
      <c r="Q37" s="98"/>
      <c r="R37" s="98"/>
      <c r="S37" s="98"/>
      <c r="T37" s="98"/>
      <c r="U37" s="100"/>
      <c r="V37" s="100"/>
      <c r="W37" s="100"/>
    </row>
    <row r="38" spans="2:103">
      <c r="B38" t="s">
        <v>197</v>
      </c>
      <c r="C38" s="55"/>
      <c r="D38" s="55"/>
      <c r="E38" s="55"/>
      <c r="F38" s="97">
        <f>IF(ISERROR(F26*F$34),"NA",F26*F$34)</f>
        <v>41096.957261787109</v>
      </c>
      <c r="G38" s="97">
        <f>IF(ISERROR(G26*G$34),"NA",G26*G$34)</f>
        <v>37782.347936384867</v>
      </c>
      <c r="H38" s="97" t="str">
        <f>IF(ISERROR(H26*H$34),"NA",H26*H$34)</f>
        <v>NA</v>
      </c>
      <c r="I38" s="96"/>
      <c r="J38" s="97">
        <f>IF(ISERROR(J26*J$34),"NA",J26*J$34)</f>
        <v>27100.312993292337</v>
      </c>
      <c r="K38" s="97">
        <f>IF(ISERROR(K26*K$34),"NA",K26*K$34)</f>
        <v>28930.898507678165</v>
      </c>
      <c r="L38" s="97" t="str">
        <f>IF(ISERROR(L26*L$34),"NA",L26*L$34)</f>
        <v>NA</v>
      </c>
      <c r="M38" s="96"/>
      <c r="N38" s="97">
        <f>IF(ISERROR(N26*N$34),"NA",N26*N$34)</f>
        <v>28894.147326046117</v>
      </c>
      <c r="O38" s="97">
        <f>IF(ISERROR(O26*O$34),"NA",O26*O$34)</f>
        <v>31025.329067139111</v>
      </c>
      <c r="P38" s="97" t="str">
        <f>IF(ISERROR(P26*P$34),"NA",P26*P$34)</f>
        <v>NA</v>
      </c>
      <c r="Q38" s="55"/>
      <c r="R38" s="55"/>
      <c r="S38" s="55"/>
      <c r="T38" s="55"/>
      <c r="U38" s="50"/>
      <c r="V38" s="50"/>
      <c r="W38" s="50"/>
    </row>
    <row r="39" spans="2:103">
      <c r="C39" s="55"/>
      <c r="D39" s="55"/>
      <c r="E39" s="55"/>
      <c r="F39" s="97"/>
      <c r="G39" s="97"/>
      <c r="H39" s="97"/>
      <c r="I39" s="96"/>
      <c r="J39" s="97"/>
      <c r="K39" s="97"/>
      <c r="L39" s="97"/>
      <c r="M39" s="96"/>
      <c r="N39" s="97"/>
      <c r="O39" s="97"/>
      <c r="P39" s="97"/>
      <c r="Q39" s="55"/>
      <c r="R39" s="55"/>
      <c r="S39" s="55"/>
      <c r="T39" s="55"/>
    </row>
    <row r="40" spans="2:103">
      <c r="B40" t="s">
        <v>254</v>
      </c>
      <c r="C40" s="55"/>
      <c r="D40" s="55"/>
      <c r="E40" s="55"/>
      <c r="F40" s="7">
        <f>0-$AO$32</f>
        <v>-3332</v>
      </c>
      <c r="G40" s="7">
        <f t="shared" ref="G40:O40" si="101">0-$AO$32</f>
        <v>-3332</v>
      </c>
      <c r="H40" s="7">
        <f t="shared" si="101"/>
        <v>-3332</v>
      </c>
      <c r="I40" s="7"/>
      <c r="J40" s="7">
        <f t="shared" si="101"/>
        <v>-3332</v>
      </c>
      <c r="K40" s="7">
        <f t="shared" si="101"/>
        <v>-3332</v>
      </c>
      <c r="L40" s="7">
        <f t="shared" si="101"/>
        <v>-3332</v>
      </c>
      <c r="M40" s="7"/>
      <c r="N40" s="7">
        <f t="shared" si="101"/>
        <v>-3332</v>
      </c>
      <c r="O40" s="7">
        <f t="shared" si="101"/>
        <v>-3332</v>
      </c>
      <c r="P40" s="97"/>
      <c r="Q40" s="55"/>
      <c r="R40" s="55"/>
      <c r="S40" s="55"/>
      <c r="T40" s="55"/>
    </row>
    <row r="41" spans="2:103">
      <c r="C41" s="55"/>
      <c r="D41" s="55"/>
      <c r="E41" s="55"/>
      <c r="F41" s="97"/>
      <c r="G41" s="97"/>
      <c r="H41" s="97"/>
      <c r="I41" s="96"/>
      <c r="J41" s="97"/>
      <c r="K41" s="97"/>
      <c r="L41" s="97"/>
      <c r="M41" s="96"/>
      <c r="N41" s="97"/>
      <c r="O41" s="97"/>
      <c r="P41" s="97"/>
      <c r="Q41" s="55"/>
      <c r="R41" s="55"/>
      <c r="S41" s="55"/>
      <c r="T41" s="55"/>
    </row>
    <row r="42" spans="2:103">
      <c r="B42" t="s">
        <v>198</v>
      </c>
      <c r="F42" s="50">
        <f t="shared" ref="F42:H44" si="102">F36+F$40</f>
        <v>42031.730890753643</v>
      </c>
      <c r="G42" s="50">
        <f t="shared" si="102"/>
        <v>40121.648623793364</v>
      </c>
      <c r="H42" s="50" t="e">
        <f t="shared" si="102"/>
        <v>#VALUE!</v>
      </c>
      <c r="I42" s="50"/>
      <c r="J42" s="50">
        <f t="shared" ref="J42:L44" si="103">J36+J$40</f>
        <v>28734.967700114652</v>
      </c>
      <c r="K42" s="50">
        <f t="shared" si="103"/>
        <v>29821.693312738549</v>
      </c>
      <c r="L42" s="50" t="e">
        <f t="shared" si="103"/>
        <v>#VALUE!</v>
      </c>
      <c r="M42" s="50"/>
      <c r="N42" s="50">
        <f t="shared" ref="N42:O44" si="104">N36+N$40</f>
        <v>28056.997967603606</v>
      </c>
      <c r="O42" s="50">
        <f t="shared" si="104"/>
        <v>28627.992990105478</v>
      </c>
      <c r="P42" s="50"/>
      <c r="U42" s="50">
        <f>IF($C$5="Yes",IF(ISERROR(U27*U$34),"NA",U27*U$34)*$AJ$32,IF(ISERROR(U27*U$34),"NA",U27*U$34)*$AD$32)</f>
        <v>29448.992402309068</v>
      </c>
      <c r="V42" s="50">
        <f>IF($C$5="Yes",IF(ISERROR(V27*V$34),"NA",V27*V$34)*$AJ$32,IF(ISERROR(V27*V$34),"NA",V27*V$34)*$AD$32)</f>
        <v>28159.648968932979</v>
      </c>
      <c r="W42" s="50"/>
    </row>
    <row r="43" spans="2:103">
      <c r="B43" s="98" t="s">
        <v>203</v>
      </c>
      <c r="C43" s="98"/>
      <c r="D43" s="98"/>
      <c r="E43" s="98"/>
      <c r="F43" s="99">
        <f t="shared" si="102"/>
        <v>38937.063244976467</v>
      </c>
      <c r="G43" s="99">
        <f t="shared" si="102"/>
        <v>37435.366067700554</v>
      </c>
      <c r="H43" s="99" t="e">
        <f t="shared" si="102"/>
        <v>#VALUE!</v>
      </c>
      <c r="I43" s="100"/>
      <c r="J43" s="99">
        <f t="shared" si="103"/>
        <v>27888.768874424888</v>
      </c>
      <c r="K43" s="99">
        <f t="shared" si="103"/>
        <v>29297.221493798417</v>
      </c>
      <c r="L43" s="99" t="e">
        <f t="shared" si="103"/>
        <v>#VALUE!</v>
      </c>
      <c r="M43" s="100"/>
      <c r="N43" s="99">
        <f t="shared" si="104"/>
        <v>26956.443430331925</v>
      </c>
      <c r="O43" s="99">
        <f t="shared" si="104"/>
        <v>28226.366857382181</v>
      </c>
      <c r="P43" s="99"/>
      <c r="Q43" s="98"/>
      <c r="R43" s="98"/>
      <c r="S43" s="98"/>
      <c r="T43" s="98"/>
      <c r="U43" s="100">
        <f>IF($C$5="Yes",IF(ISERROR(U28*U$34),"NA",U28*U$34)*$AJ$32,IF(ISERROR(U28*U$34),"NA",U28*U$34)*$AD$32)</f>
        <v>29917.540165685805</v>
      </c>
      <c r="V43" s="100">
        <f>IF($C$5="Yes",IF(ISERROR(V28*V$34),"NA",V28*V$34)*$AJ$32,IF(ISERROR(V28*V$34),"NA",V28*V$34)*$AD$32)</f>
        <v>27736.687559359823</v>
      </c>
      <c r="W43" s="100"/>
    </row>
    <row r="44" spans="2:103">
      <c r="B44" t="s">
        <v>199</v>
      </c>
      <c r="F44" s="50">
        <f t="shared" si="102"/>
        <v>37764.957261787109</v>
      </c>
      <c r="G44" s="50">
        <f t="shared" si="102"/>
        <v>34450.347936384867</v>
      </c>
      <c r="H44" s="50" t="e">
        <f t="shared" si="102"/>
        <v>#VALUE!</v>
      </c>
      <c r="I44" s="50"/>
      <c r="J44" s="50">
        <f t="shared" si="103"/>
        <v>23768.312993292337</v>
      </c>
      <c r="K44" s="50">
        <f t="shared" si="103"/>
        <v>25598.898507678165</v>
      </c>
      <c r="L44" s="50" t="e">
        <f t="shared" si="103"/>
        <v>#VALUE!</v>
      </c>
      <c r="M44" s="50"/>
      <c r="N44" s="50">
        <f t="shared" si="104"/>
        <v>25562.147326046117</v>
      </c>
      <c r="O44" s="50">
        <f t="shared" si="104"/>
        <v>27693.329067139111</v>
      </c>
      <c r="P44" s="50"/>
      <c r="U44" s="50">
        <f>IF($C$5="Yes",IF(ISERROR(U26*U$34),"NA",U26*U$34)*$AJ$32,IF(ISERROR(U26*U$34),"NA",U26*U$34)*$AD$32)</f>
        <v>30440.522553191488</v>
      </c>
      <c r="V44" s="50">
        <f>IF($C$5="Yes",IF(ISERROR(V26*V$34),"NA",V26*V$34)*$AJ$32,IF(ISERROR(V26*V$34),"NA",V26*V$34)*$AD$32)</f>
        <v>24592.228977272727</v>
      </c>
      <c r="W44" s="50"/>
    </row>
    <row r="46" spans="2:103">
      <c r="B46" t="s">
        <v>267</v>
      </c>
      <c r="F46" s="113">
        <f t="shared" ref="F46:G46" si="105">IF($C$5="Yes",IF(ISERROR(F42/$AJ$32),"NA",F42/$AJ$32),IF(ISERROR(F42/$AD$32),"NA",F42/$AD$32))</f>
        <v>122.89979792618024</v>
      </c>
      <c r="G46" s="113">
        <f t="shared" si="105"/>
        <v>117.31476205787533</v>
      </c>
      <c r="J46" s="113">
        <f t="shared" ref="J46:K46" si="106">IF($C$5="Yes",IF(ISERROR(J42/$AJ$32),"NA",J42/$AJ$32),IF(ISERROR(J42/$AD$32),"NA",J42/$AD$32))</f>
        <v>84.020373392148102</v>
      </c>
      <c r="K46" s="113">
        <f t="shared" si="106"/>
        <v>87.197933662978215</v>
      </c>
      <c r="N46" s="113">
        <f t="shared" ref="N46:O46" si="107">IF($C$5="Yes",IF(ISERROR(N42/$AJ$32),"NA",N42/$AJ$32),IF(ISERROR(N42/$AD$32),"NA",N42/$AD$32))</f>
        <v>82.038005753226912</v>
      </c>
      <c r="O46" s="113">
        <f t="shared" si="107"/>
        <v>83.707581842413674</v>
      </c>
      <c r="U46" s="113">
        <f t="shared" ref="U46:V46" si="108">IF($C$5="Yes",IF(ISERROR(U42/$AJ$32),"NA",U42/$AJ$32),IF(ISERROR(U42/$AD$32),"NA",U42/$AD$32))</f>
        <v>86.108164919032362</v>
      </c>
      <c r="V46" s="113">
        <f t="shared" si="108"/>
        <v>82.338154879920992</v>
      </c>
    </row>
    <row r="47" spans="2:103">
      <c r="B47" s="98" t="s">
        <v>268</v>
      </c>
      <c r="C47" s="103"/>
      <c r="D47" s="103"/>
      <c r="E47" s="103"/>
      <c r="F47" s="115">
        <f t="shared" ref="F47:G47" si="109">IF($C$5="Yes",IF(ISERROR(F43/$AJ$32),"NA",F43/$AJ$32),IF(ISERROR(F43/$AD$32),"NA",F43/$AD$32))</f>
        <v>113.85106211981423</v>
      </c>
      <c r="G47" s="115">
        <f t="shared" si="109"/>
        <v>109.46013470087881</v>
      </c>
      <c r="H47" s="103"/>
      <c r="I47" s="103"/>
      <c r="J47" s="115">
        <f t="shared" ref="J47:K47" si="110">IF($C$5="Yes",IF(ISERROR(J43/$AJ$32),"NA",J43/$AJ$32),IF(ISERROR(J43/$AD$32),"NA",J43/$AD$32))</f>
        <v>81.546107819955807</v>
      </c>
      <c r="K47" s="115">
        <f t="shared" si="110"/>
        <v>85.664390332743906</v>
      </c>
      <c r="L47" s="103"/>
      <c r="M47" s="103"/>
      <c r="N47" s="115">
        <f t="shared" ref="N47:O47" si="111">IF($C$5="Yes",IF(ISERROR(N43/$AJ$32),"NA",N43/$AJ$32),IF(ISERROR(N43/$AD$32),"NA",N43/$AD$32))</f>
        <v>78.820010030210312</v>
      </c>
      <c r="O47" s="115">
        <f t="shared" si="111"/>
        <v>82.533236425094103</v>
      </c>
      <c r="P47" s="103"/>
      <c r="Q47" s="103"/>
      <c r="R47" s="103"/>
      <c r="S47" s="103"/>
      <c r="T47" s="103"/>
      <c r="U47" s="115">
        <f t="shared" ref="U47:V47" si="112">IF($C$5="Yes",IF(ISERROR(U43/$AJ$32),"NA",U43/$AJ$32),IF(ISERROR(U43/$AD$32),"NA",U43/$AD$32))</f>
        <v>87.478187618964341</v>
      </c>
      <c r="V47" s="115">
        <f t="shared" si="112"/>
        <v>81.101425612163226</v>
      </c>
    </row>
    <row r="48" spans="2:103">
      <c r="B48" t="s">
        <v>266</v>
      </c>
      <c r="F48" s="113">
        <f>IF($C$5="Yes",IF(ISERROR(F44/$AJ$32),"NA",F44/$AJ$32),IF(ISERROR(F44/$AD$32),"NA",F44/$AD$32))</f>
        <v>110.42385164265237</v>
      </c>
      <c r="G48" s="113">
        <f>IF($C$5="Yes",IF(ISERROR(G44/$AJ$32),"NA",G44/$AJ$32),IF(ISERROR(G44/$AD$32),"NA",G44/$AD$32))</f>
        <v>100.73201150989728</v>
      </c>
      <c r="J48" s="113">
        <f>IF($C$5="Yes",IF(ISERROR(J44/$AJ$32),"NA",J44/$AJ$32),IF(ISERROR(J44/$AD$32),"NA",J44/$AD$32))</f>
        <v>69.497991208457123</v>
      </c>
      <c r="K48" s="113">
        <f>IF($C$5="Yes",IF(ISERROR(K44/$AJ$32),"NA",K44/$AJ$32),IF(ISERROR(K44/$AD$32),"NA",K44/$AD$32))</f>
        <v>74.850580431807501</v>
      </c>
      <c r="N48" s="113">
        <f>IF($C$5="Yes",IF(ISERROR(N44/$AJ$32),"NA",N44/$AJ$32),IF(ISERROR(N44/$AD$32),"NA",N44/$AD$32))</f>
        <v>74.743120836392151</v>
      </c>
      <c r="O48" s="113">
        <f>IF($C$5="Yes",IF(ISERROR(O44/$AJ$32),"NA",O44/$AJ$32),IF(ISERROR(O44/$AD$32),"NA",O44/$AD$32))</f>
        <v>80.974646395143594</v>
      </c>
      <c r="U48" s="113">
        <f>IF($C$5="Yes",IF(ISERROR(U44/$AJ$32),"NA",U44/$AJ$32),IF(ISERROR(U44/$AD$32),"NA",U44/$AD$32))</f>
        <v>89.007375886524812</v>
      </c>
      <c r="V48" s="113">
        <f>IF($C$5="Yes",IF(ISERROR(V44/$AJ$32),"NA",V44/$AJ$32),IF(ISERROR(V44/$AD$32),"NA",V44/$AD$32))</f>
        <v>71.907102272727272</v>
      </c>
    </row>
    <row r="49" spans="2:2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</sheetData>
  <pageMargins left="0.7" right="0.7" top="0.75" bottom="0.75" header="0.3" footer="0.3"/>
  <pageSetup scale="68" orientation="landscape" verticalDpi="0" r:id="rId1"/>
  <headerFooter>
    <oddFooter>&amp;L© Atif Ellahie&amp;C&amp;P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AAC4-27A7-42ED-B2E0-1F37808790F7}">
  <sheetPr>
    <pageSetUpPr fitToPage="1"/>
  </sheetPr>
  <dimension ref="B1:AW51"/>
  <sheetViews>
    <sheetView showGridLines="0" zoomScale="90" zoomScaleNormal="90"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5" outlineLevelCol="1"/>
  <cols>
    <col min="1" max="1" width="2.83203125" customWidth="1"/>
    <col min="2" max="2" width="32.6640625" customWidth="1"/>
    <col min="3" max="3" width="30.33203125" customWidth="1"/>
    <col min="4" max="4" width="12.83203125" customWidth="1"/>
    <col min="5" max="5" width="13.1640625" customWidth="1"/>
    <col min="6" max="6" width="14.5" customWidth="1"/>
    <col min="7" max="7" width="12.83203125" customWidth="1"/>
    <col min="8" max="9" width="10.83203125" hidden="1" customWidth="1" outlineLevel="1"/>
    <col min="10" max="10" width="2.83203125" customWidth="1" collapsed="1"/>
    <col min="11" max="13" width="10.83203125" customWidth="1"/>
    <col min="14" max="14" width="2.83203125" customWidth="1"/>
    <col min="15" max="15" width="10.83203125" customWidth="1"/>
    <col min="16" max="16" width="2.83203125" customWidth="1"/>
    <col min="17" max="17" width="17.5" customWidth="1"/>
    <col min="18" max="18" width="2.83203125" customWidth="1"/>
    <col min="19" max="21" width="10.83203125" customWidth="1"/>
    <col min="22" max="23" width="10.6640625" customWidth="1"/>
    <col min="24" max="25" width="30.83203125" customWidth="1" outlineLevel="1"/>
    <col min="26" max="27" width="14.5" customWidth="1" outlineLevel="1"/>
    <col min="28" max="28" width="20.6640625" customWidth="1" outlineLevel="1"/>
    <col min="29" max="31" width="13" customWidth="1" outlineLevel="1"/>
    <col min="32" max="33" width="14.5" customWidth="1" outlineLevel="1"/>
    <col min="34" max="34" width="11.83203125" customWidth="1" outlineLevel="1"/>
    <col min="35" max="35" width="13.5" customWidth="1" outlineLevel="1"/>
    <col min="36" max="36" width="11.83203125" customWidth="1" outlineLevel="1"/>
    <col min="37" max="37" width="12.6640625" customWidth="1" outlineLevel="1"/>
    <col min="38" max="38" width="11.83203125" customWidth="1" outlineLevel="1"/>
    <col min="39" max="39" width="4.33203125" customWidth="1" outlineLevel="1"/>
    <col min="40" max="40" width="11.83203125" customWidth="1" outlineLevel="1"/>
    <col min="41" max="41" width="13.5" customWidth="1" outlineLevel="1"/>
    <col min="42" max="42" width="11.83203125" customWidth="1" outlineLevel="1"/>
    <col min="43" max="43" width="2.83203125" customWidth="1" outlineLevel="1"/>
    <col min="44" max="44" width="11.1640625" customWidth="1" outlineLevel="1"/>
    <col min="45" max="45" width="2.83203125" customWidth="1" outlineLevel="1"/>
    <col min="46" max="48" width="11.1640625" customWidth="1" outlineLevel="1"/>
    <col min="49" max="49" width="8.83203125" customWidth="1" outlineLevel="1"/>
  </cols>
  <sheetData>
    <row r="1" spans="2:48" ht="21">
      <c r="B1" s="31" t="str">
        <f>""&amp;Data!C3&amp;" - Precedent Transactions Valuation"</f>
        <v>Serial Co. - Precedent Transactions Valuation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2:48" ht="14.5" customHeight="1">
      <c r="B2" s="30"/>
    </row>
    <row r="3" spans="2:48">
      <c r="B3" t="s">
        <v>44</v>
      </c>
      <c r="C3" s="19">
        <v>45016</v>
      </c>
      <c r="D3" s="101"/>
      <c r="E3" s="101"/>
      <c r="F3" s="101"/>
      <c r="G3" s="101"/>
      <c r="H3" s="101"/>
    </row>
    <row r="4" spans="2:48">
      <c r="B4" t="s">
        <v>45</v>
      </c>
      <c r="C4" s="19">
        <v>44926</v>
      </c>
      <c r="D4" s="101"/>
      <c r="E4" s="101"/>
      <c r="F4" s="101"/>
      <c r="G4" s="101"/>
      <c r="H4" s="101"/>
    </row>
    <row r="5" spans="2:48">
      <c r="B5" t="s">
        <v>195</v>
      </c>
      <c r="C5" s="33" t="s">
        <v>150</v>
      </c>
      <c r="D5" s="95"/>
      <c r="E5" s="95"/>
      <c r="F5" s="95"/>
      <c r="G5" s="95"/>
      <c r="H5" s="95"/>
    </row>
    <row r="6" spans="2:48">
      <c r="B6" s="43"/>
      <c r="C6" s="95"/>
      <c r="D6" s="95"/>
      <c r="E6" s="95"/>
      <c r="F6" s="95"/>
      <c r="G6" s="95"/>
      <c r="H6" s="95"/>
    </row>
    <row r="7" spans="2:48" ht="19">
      <c r="B7" s="23" t="s">
        <v>205</v>
      </c>
      <c r="C7" s="14"/>
      <c r="D7" s="14"/>
      <c r="E7" s="14"/>
      <c r="F7" s="14"/>
      <c r="G7" s="14"/>
      <c r="H7" s="14"/>
    </row>
    <row r="9" spans="2:48">
      <c r="B9" s="57"/>
      <c r="C9" s="58"/>
      <c r="D9" s="58"/>
      <c r="E9" s="58"/>
      <c r="F9" s="58"/>
      <c r="G9" s="58"/>
      <c r="H9" s="58"/>
      <c r="I9" s="57"/>
      <c r="J9" s="59"/>
      <c r="K9" s="60" t="s">
        <v>246</v>
      </c>
      <c r="L9" s="60"/>
      <c r="M9" s="60"/>
      <c r="N9" s="57"/>
      <c r="O9" s="58" t="s">
        <v>115</v>
      </c>
      <c r="P9" s="61"/>
      <c r="Q9" s="102" t="s">
        <v>253</v>
      </c>
      <c r="R9" s="61"/>
      <c r="S9" s="60" t="s">
        <v>211</v>
      </c>
      <c r="T9" s="60"/>
      <c r="U9" s="60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56"/>
      <c r="AI9" s="43"/>
      <c r="AJ9" s="43"/>
      <c r="AK9" s="43"/>
      <c r="AL9" s="43"/>
      <c r="AM9" s="43"/>
      <c r="AN9" s="56"/>
      <c r="AO9" s="43"/>
      <c r="AP9" s="43"/>
      <c r="AQ9" s="43"/>
      <c r="AS9" s="43"/>
    </row>
    <row r="10" spans="2:48">
      <c r="B10" s="57"/>
      <c r="D10" s="58" t="s">
        <v>173</v>
      </c>
      <c r="E10" s="58" t="s">
        <v>219</v>
      </c>
      <c r="F10" s="58" t="s">
        <v>209</v>
      </c>
      <c r="G10" s="58" t="s">
        <v>235</v>
      </c>
      <c r="H10" s="58" t="s">
        <v>119</v>
      </c>
      <c r="I10" s="58" t="s">
        <v>120</v>
      </c>
      <c r="J10" s="59"/>
      <c r="K10" s="58" t="s">
        <v>115</v>
      </c>
      <c r="L10" s="58" t="s">
        <v>115</v>
      </c>
      <c r="M10" s="58" t="s">
        <v>115</v>
      </c>
      <c r="N10" s="58"/>
      <c r="O10" s="62" t="s">
        <v>4</v>
      </c>
      <c r="P10" s="58"/>
      <c r="Q10" s="62" t="s">
        <v>115</v>
      </c>
      <c r="R10" s="58"/>
      <c r="S10" s="61" t="s">
        <v>213</v>
      </c>
      <c r="T10" s="61"/>
      <c r="U10" s="61"/>
      <c r="X10" s="43"/>
      <c r="Y10" s="43"/>
      <c r="Z10" s="43"/>
      <c r="AA10" s="43"/>
      <c r="AB10" s="43"/>
      <c r="AC10" s="43" t="s">
        <v>256</v>
      </c>
      <c r="AD10" s="43"/>
      <c r="AE10" s="43"/>
      <c r="AF10" s="43"/>
      <c r="AG10" s="43"/>
      <c r="AH10" s="44" t="s">
        <v>245</v>
      </c>
      <c r="AI10" s="44"/>
      <c r="AJ10" s="44"/>
      <c r="AK10" s="44"/>
      <c r="AL10" s="44"/>
      <c r="AM10" s="53"/>
      <c r="AN10" s="44" t="s">
        <v>246</v>
      </c>
      <c r="AO10" s="44"/>
      <c r="AP10" s="44"/>
      <c r="AR10" s="44" t="s">
        <v>247</v>
      </c>
      <c r="AT10" s="44" t="s">
        <v>248</v>
      </c>
      <c r="AU10" s="44"/>
      <c r="AV10" s="44"/>
    </row>
    <row r="11" spans="2:48">
      <c r="B11" s="63" t="s">
        <v>206</v>
      </c>
      <c r="C11" s="63" t="s">
        <v>76</v>
      </c>
      <c r="D11" s="64" t="s">
        <v>210</v>
      </c>
      <c r="E11" s="64" t="s">
        <v>218</v>
      </c>
      <c r="F11" s="64" t="s">
        <v>208</v>
      </c>
      <c r="G11" s="64" t="s">
        <v>127</v>
      </c>
      <c r="H11" s="64" t="s">
        <v>127</v>
      </c>
      <c r="I11" s="64" t="s">
        <v>127</v>
      </c>
      <c r="J11" s="59"/>
      <c r="K11" s="64" t="s">
        <v>0</v>
      </c>
      <c r="L11" s="64" t="s">
        <v>4</v>
      </c>
      <c r="M11" s="64" t="s">
        <v>6</v>
      </c>
      <c r="N11" s="58"/>
      <c r="O11" s="65" t="s">
        <v>124</v>
      </c>
      <c r="P11" s="58"/>
      <c r="Q11" s="65" t="s">
        <v>212</v>
      </c>
      <c r="R11" s="58"/>
      <c r="S11" s="64" t="s">
        <v>214</v>
      </c>
      <c r="T11" s="64" t="s">
        <v>215</v>
      </c>
      <c r="U11" s="64" t="s">
        <v>216</v>
      </c>
      <c r="X11" s="104" t="s">
        <v>217</v>
      </c>
      <c r="Y11" s="104" t="s">
        <v>220</v>
      </c>
      <c r="Z11" s="105" t="s">
        <v>207</v>
      </c>
      <c r="AA11" s="46" t="s">
        <v>251</v>
      </c>
      <c r="AB11" s="46" t="s">
        <v>237</v>
      </c>
      <c r="AC11" s="46" t="s">
        <v>255</v>
      </c>
      <c r="AD11" s="46" t="s">
        <v>144</v>
      </c>
      <c r="AE11" s="46" t="s">
        <v>32</v>
      </c>
      <c r="AF11" s="105" t="s">
        <v>236</v>
      </c>
      <c r="AG11" s="105" t="s">
        <v>236</v>
      </c>
      <c r="AH11" s="46" t="s">
        <v>240</v>
      </c>
      <c r="AI11" s="46" t="s">
        <v>242</v>
      </c>
      <c r="AJ11" s="46" t="s">
        <v>241</v>
      </c>
      <c r="AK11" s="46" t="s">
        <v>243</v>
      </c>
      <c r="AL11" s="46" t="s">
        <v>244</v>
      </c>
      <c r="AM11" s="47"/>
      <c r="AN11" s="47" t="s">
        <v>240</v>
      </c>
      <c r="AO11" s="47" t="s">
        <v>242</v>
      </c>
      <c r="AP11" s="47" t="s">
        <v>241</v>
      </c>
      <c r="AQ11" s="46"/>
      <c r="AR11" s="47" t="s">
        <v>122</v>
      </c>
      <c r="AS11" s="46"/>
      <c r="AT11" s="47" t="s">
        <v>214</v>
      </c>
      <c r="AU11" s="47" t="s">
        <v>249</v>
      </c>
      <c r="AV11" s="47" t="s">
        <v>250</v>
      </c>
    </row>
    <row r="12" spans="2:48">
      <c r="B12" s="6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AH12" s="107"/>
      <c r="AI12" s="107"/>
      <c r="AJ12" s="107"/>
      <c r="AK12" s="107"/>
      <c r="AL12" s="107"/>
      <c r="AQ12" s="50"/>
      <c r="AS12" s="50"/>
    </row>
    <row r="13" spans="2:48">
      <c r="B13" s="67" t="str">
        <f>X13</f>
        <v>Tyson Foods Inc</v>
      </c>
      <c r="C13" s="67" t="str">
        <f>Y13</f>
        <v>Hillshire Brands Co</v>
      </c>
      <c r="D13" s="111">
        <f t="shared" ref="D13" si="0">Z13</f>
        <v>41788</v>
      </c>
      <c r="E13" s="73" t="str">
        <f t="shared" ref="E13" si="1">AA13</f>
        <v>Completed</v>
      </c>
      <c r="F13" s="73" t="str">
        <f>IF(ISBLANK(AB13),"NA",AB13)</f>
        <v>100% Cash</v>
      </c>
      <c r="G13" s="50">
        <f t="shared" ref="G13" si="2">AG13</f>
        <v>7726.8459999999995</v>
      </c>
      <c r="H13" s="68"/>
      <c r="I13" s="68"/>
      <c r="J13" s="67"/>
      <c r="K13" s="69">
        <f>IF(ISBLANK(AN13),"NA",AN13)</f>
        <v>2.0790000000000002</v>
      </c>
      <c r="L13" s="69">
        <f t="shared" ref="L13:M13" si="3">IF(ISBLANK(AO13),"NA",AO13)</f>
        <v>15.593</v>
      </c>
      <c r="M13" s="69">
        <f t="shared" si="3"/>
        <v>22.138999999999999</v>
      </c>
      <c r="N13" s="69"/>
      <c r="O13" s="70">
        <f>IF(ISERROR(AN13/AO13),"NA",AN13/AO13)</f>
        <v>0.13332905791060093</v>
      </c>
      <c r="P13" s="69"/>
      <c r="Q13" s="71">
        <f>IF(ISBLANK(AR13),"NA",AR13)</f>
        <v>35.462989807128899</v>
      </c>
      <c r="R13" s="69"/>
      <c r="S13" s="70">
        <f>AT13/100</f>
        <v>0.70180000000000009</v>
      </c>
      <c r="T13" s="70">
        <f t="shared" ref="T13:U13" si="4">AU13/100</f>
        <v>0.76769999999999994</v>
      </c>
      <c r="U13" s="70">
        <f t="shared" si="4"/>
        <v>0.78170000000000006</v>
      </c>
      <c r="X13" s="36" t="s">
        <v>221</v>
      </c>
      <c r="Y13" s="36" t="s">
        <v>222</v>
      </c>
      <c r="Z13" s="34">
        <v>41788</v>
      </c>
      <c r="AA13" s="110" t="s">
        <v>252</v>
      </c>
      <c r="AB13" s="38" t="s">
        <v>238</v>
      </c>
      <c r="AC13" s="38"/>
      <c r="AD13" s="38"/>
      <c r="AE13" s="41">
        <f>AC13+AD13</f>
        <v>0</v>
      </c>
      <c r="AF13" s="39">
        <v>7726.8459999999995</v>
      </c>
      <c r="AG13" s="39">
        <v>7726.8459999999995</v>
      </c>
      <c r="AH13" s="108">
        <v>3983</v>
      </c>
      <c r="AI13" s="108"/>
      <c r="AJ13" s="108">
        <v>374</v>
      </c>
      <c r="AK13" s="108">
        <v>223</v>
      </c>
      <c r="AL13" s="108">
        <v>1.7765</v>
      </c>
      <c r="AM13" s="106"/>
      <c r="AN13" s="106">
        <v>2.0790000000000002</v>
      </c>
      <c r="AO13" s="106">
        <v>15.593</v>
      </c>
      <c r="AP13" s="106">
        <v>22.138999999999999</v>
      </c>
      <c r="AQ13" s="109"/>
      <c r="AR13" s="106">
        <v>35.462989807128899</v>
      </c>
      <c r="AS13" s="109"/>
      <c r="AT13" s="106">
        <v>70.180000000000007</v>
      </c>
      <c r="AU13" s="106">
        <v>76.77</v>
      </c>
      <c r="AV13" s="106">
        <v>78.17</v>
      </c>
    </row>
    <row r="14" spans="2:48">
      <c r="B14" s="67" t="str">
        <f t="shared" ref="B14:B20" si="5">X14</f>
        <v>Snyder's-Lance Inc</v>
      </c>
      <c r="C14" s="67" t="str">
        <f t="shared" ref="C14:C20" si="6">Y14</f>
        <v>Diamond Foods Inc</v>
      </c>
      <c r="D14" s="111">
        <f t="shared" ref="D14:D20" si="7">Z14</f>
        <v>42305</v>
      </c>
      <c r="E14" s="73" t="str">
        <f t="shared" ref="E14:E20" si="8">AA14</f>
        <v>Completed</v>
      </c>
      <c r="F14" s="73" t="str">
        <f t="shared" ref="F14:F20" si="9">IF(ISBLANK(AB14),"NA",AB14)</f>
        <v>Mix Cash/Stock</v>
      </c>
      <c r="G14" s="50">
        <f t="shared" ref="G14:G20" si="10">AG14</f>
        <v>1955.4649999999999</v>
      </c>
      <c r="H14" s="68"/>
      <c r="I14" s="68"/>
      <c r="J14" s="67"/>
      <c r="K14" s="69">
        <f t="shared" ref="K14:K20" si="11">IF(ISBLANK(AN14),"NA",AN14)</f>
        <v>2.1589999999999998</v>
      </c>
      <c r="L14" s="69" t="str">
        <f t="shared" ref="L14:L20" si="12">IF(ISBLANK(AO14),"NA",AO14)</f>
        <v>NA</v>
      </c>
      <c r="M14" s="69" t="str">
        <f>IF(ISBLANK(AP14),"NA",AP14)</f>
        <v>NA</v>
      </c>
      <c r="N14" s="69"/>
      <c r="O14" s="70" t="str">
        <f t="shared" ref="O14:O20" si="13">IF(ISERROR(AN14/AO14),"NA",AN14/AO14)</f>
        <v>NA</v>
      </c>
      <c r="P14" s="69"/>
      <c r="Q14" s="71">
        <f t="shared" ref="Q14:Q20" si="14">IF(ISBLANK(AR14),"NA",AR14)</f>
        <v>4.7488265037536603</v>
      </c>
      <c r="R14" s="69"/>
      <c r="S14" s="70">
        <f t="shared" ref="S14:S20" si="15">AT14/100</f>
        <v>0.23280000000000001</v>
      </c>
      <c r="T14" s="70">
        <f t="shared" ref="T14:T20" si="16">AU14/100</f>
        <v>0.24149999999999999</v>
      </c>
      <c r="U14" s="70">
        <f t="shared" ref="U14:U20" si="17">AV14/100</f>
        <v>0.18690000000000001</v>
      </c>
      <c r="X14" s="36" t="s">
        <v>223</v>
      </c>
      <c r="Y14" s="36" t="s">
        <v>224</v>
      </c>
      <c r="Z14" s="34">
        <v>42305</v>
      </c>
      <c r="AA14" s="110" t="s">
        <v>252</v>
      </c>
      <c r="AB14" s="38" t="s">
        <v>239</v>
      </c>
      <c r="AC14" s="38"/>
      <c r="AD14" s="38"/>
      <c r="AE14" s="41">
        <f t="shared" ref="AE14:AE20" si="18">AC14+AD14</f>
        <v>0</v>
      </c>
      <c r="AF14" s="39">
        <v>1955.4649999999999</v>
      </c>
      <c r="AG14" s="39">
        <v>1955.4649999999999</v>
      </c>
      <c r="AH14" s="108">
        <v>880.38300000000004</v>
      </c>
      <c r="AI14" s="108"/>
      <c r="AJ14" s="108">
        <v>355.99543999999997</v>
      </c>
      <c r="AK14" s="108">
        <v>221</v>
      </c>
      <c r="AL14" s="108">
        <v>8.52</v>
      </c>
      <c r="AM14" s="106"/>
      <c r="AN14" s="106">
        <v>2.1589999999999998</v>
      </c>
      <c r="AO14" s="106"/>
      <c r="AP14" s="106"/>
      <c r="AQ14" s="109"/>
      <c r="AR14" s="106">
        <v>4.7488265037536603</v>
      </c>
      <c r="AS14" s="109"/>
      <c r="AT14" s="106">
        <v>23.28</v>
      </c>
      <c r="AU14" s="106">
        <v>24.15</v>
      </c>
      <c r="AV14" s="106">
        <v>18.690000000000001</v>
      </c>
    </row>
    <row r="15" spans="2:48">
      <c r="B15" s="67" t="str">
        <f t="shared" si="5"/>
        <v>Danone SA</v>
      </c>
      <c r="C15" s="67" t="str">
        <f t="shared" si="6"/>
        <v>The WhiteWave Foods Co</v>
      </c>
      <c r="D15" s="111">
        <f t="shared" si="7"/>
        <v>42558</v>
      </c>
      <c r="E15" s="73" t="str">
        <f t="shared" si="8"/>
        <v>Completed</v>
      </c>
      <c r="F15" s="73" t="str">
        <f t="shared" si="9"/>
        <v>100% Cash</v>
      </c>
      <c r="G15" s="50">
        <f t="shared" si="10"/>
        <v>10355.634</v>
      </c>
      <c r="H15" s="68"/>
      <c r="I15" s="68"/>
      <c r="J15" s="67"/>
      <c r="K15" s="69">
        <f t="shared" si="11"/>
        <v>3.0030000000000001</v>
      </c>
      <c r="L15" s="69">
        <f t="shared" si="12"/>
        <v>24.606999999999999</v>
      </c>
      <c r="M15" s="69">
        <f t="shared" ref="M15:M20" si="19">IF(ISBLANK(AP15),"NA",AP15)</f>
        <v>33.460999999999999</v>
      </c>
      <c r="N15" s="69"/>
      <c r="O15" s="70">
        <f t="shared" si="13"/>
        <v>0.12203844434510507</v>
      </c>
      <c r="P15" s="69"/>
      <c r="Q15" s="71">
        <f t="shared" si="14"/>
        <v>52.886425018310497</v>
      </c>
      <c r="R15" s="69"/>
      <c r="S15" s="70">
        <f t="shared" si="15"/>
        <v>0.18600000000000003</v>
      </c>
      <c r="T15" s="70">
        <f t="shared" si="16"/>
        <v>0.19829999999999998</v>
      </c>
      <c r="U15" s="70">
        <f t="shared" si="17"/>
        <v>0.22390000000000002</v>
      </c>
      <c r="X15" s="36" t="s">
        <v>225</v>
      </c>
      <c r="Y15" s="36" t="s">
        <v>226</v>
      </c>
      <c r="Z15" s="34">
        <v>42558</v>
      </c>
      <c r="AA15" s="110" t="s">
        <v>252</v>
      </c>
      <c r="AB15" s="38" t="s">
        <v>238</v>
      </c>
      <c r="AC15" s="38"/>
      <c r="AD15" s="38"/>
      <c r="AE15" s="41">
        <f t="shared" si="18"/>
        <v>0</v>
      </c>
      <c r="AF15" s="39">
        <v>10355.634</v>
      </c>
      <c r="AG15" s="39">
        <v>10355.634</v>
      </c>
      <c r="AH15" s="108">
        <v>4120.8649999999998</v>
      </c>
      <c r="AI15" s="108"/>
      <c r="AJ15" s="108">
        <v>369.8</v>
      </c>
      <c r="AK15" s="108">
        <v>192</v>
      </c>
      <c r="AL15" s="108">
        <v>1.0636000000000001</v>
      </c>
      <c r="AM15" s="106"/>
      <c r="AN15" s="106">
        <v>3.0030000000000001</v>
      </c>
      <c r="AO15" s="106">
        <v>24.606999999999999</v>
      </c>
      <c r="AP15" s="106">
        <v>33.460999999999999</v>
      </c>
      <c r="AQ15" s="109"/>
      <c r="AR15" s="106">
        <v>52.886425018310497</v>
      </c>
      <c r="AS15" s="109"/>
      <c r="AT15" s="106">
        <v>18.600000000000001</v>
      </c>
      <c r="AU15" s="106">
        <v>19.829999999999998</v>
      </c>
      <c r="AV15" s="106">
        <v>22.39</v>
      </c>
    </row>
    <row r="16" spans="2:48">
      <c r="B16" s="67" t="str">
        <f t="shared" si="5"/>
        <v>Reckitt Benckiser Group PLC</v>
      </c>
      <c r="C16" s="67" t="str">
        <f t="shared" si="6"/>
        <v>Mead Johnson Nutrition Co</v>
      </c>
      <c r="D16" s="111">
        <f t="shared" si="7"/>
        <v>42767</v>
      </c>
      <c r="E16" s="73" t="str">
        <f t="shared" si="8"/>
        <v>Completed</v>
      </c>
      <c r="F16" s="73" t="str">
        <f t="shared" si="9"/>
        <v>Mix Cash/Stock</v>
      </c>
      <c r="G16" s="50">
        <f t="shared" si="10"/>
        <v>17742.935000000001</v>
      </c>
      <c r="H16" s="68"/>
      <c r="I16" s="68"/>
      <c r="J16" s="67"/>
      <c r="K16" s="69">
        <f t="shared" si="11"/>
        <v>4.7350000000000003</v>
      </c>
      <c r="L16" s="69">
        <f t="shared" si="12"/>
        <v>18.407</v>
      </c>
      <c r="M16" s="69">
        <f t="shared" si="19"/>
        <v>20.530999999999999</v>
      </c>
      <c r="N16" s="69"/>
      <c r="O16" s="70">
        <f t="shared" si="13"/>
        <v>0.25723909382300214</v>
      </c>
      <c r="P16" s="69"/>
      <c r="Q16" s="71">
        <f t="shared" si="14"/>
        <v>30.812419891357401</v>
      </c>
      <c r="R16" s="69"/>
      <c r="S16" s="70">
        <f t="shared" si="15"/>
        <v>0.27729999999999999</v>
      </c>
      <c r="T16" s="70">
        <f t="shared" si="16"/>
        <v>0.20129999999999998</v>
      </c>
      <c r="U16" s="70">
        <f t="shared" si="17"/>
        <v>0.25379999999999997</v>
      </c>
      <c r="X16" s="36" t="s">
        <v>227</v>
      </c>
      <c r="Y16" s="36" t="s">
        <v>228</v>
      </c>
      <c r="Z16" s="34">
        <v>42767</v>
      </c>
      <c r="AA16" s="110" t="s">
        <v>252</v>
      </c>
      <c r="AB16" s="38" t="s">
        <v>239</v>
      </c>
      <c r="AC16" s="38"/>
      <c r="AD16" s="38"/>
      <c r="AE16" s="41">
        <f t="shared" si="18"/>
        <v>0</v>
      </c>
      <c r="AF16" s="39">
        <v>17742.935000000001</v>
      </c>
      <c r="AG16" s="39">
        <v>17742.935000000001</v>
      </c>
      <c r="AH16" s="108">
        <v>3742.7</v>
      </c>
      <c r="AI16" s="108"/>
      <c r="AJ16" s="108">
        <v>863.2</v>
      </c>
      <c r="AK16" s="108">
        <v>542.70000000000005</v>
      </c>
      <c r="AL16" s="108">
        <v>2.9209000000000001</v>
      </c>
      <c r="AM16" s="106"/>
      <c r="AN16" s="106">
        <v>4.7350000000000003</v>
      </c>
      <c r="AO16" s="106">
        <v>18.407</v>
      </c>
      <c r="AP16" s="106">
        <v>20.530999999999999</v>
      </c>
      <c r="AQ16" s="109"/>
      <c r="AR16" s="106">
        <v>30.812419891357401</v>
      </c>
      <c r="AS16" s="109"/>
      <c r="AT16" s="106">
        <v>27.73</v>
      </c>
      <c r="AU16" s="106">
        <v>20.13</v>
      </c>
      <c r="AV16" s="106">
        <v>25.38</v>
      </c>
    </row>
    <row r="17" spans="2:48">
      <c r="B17" s="67" t="str">
        <f t="shared" si="5"/>
        <v>Tyson Foods Inc</v>
      </c>
      <c r="C17" s="67" t="str">
        <f t="shared" si="6"/>
        <v>AdvancePierre Foods Hldg Inc</v>
      </c>
      <c r="D17" s="111">
        <f t="shared" si="7"/>
        <v>42850</v>
      </c>
      <c r="E17" s="73" t="str">
        <f t="shared" si="8"/>
        <v>Completed</v>
      </c>
      <c r="F17" s="73" t="str">
        <f t="shared" si="9"/>
        <v>Mix Cash/Stock</v>
      </c>
      <c r="G17" s="50">
        <f t="shared" si="10"/>
        <v>4264.3580000000002</v>
      </c>
      <c r="H17" s="68"/>
      <c r="I17" s="68"/>
      <c r="J17" s="67"/>
      <c r="K17" s="69">
        <f t="shared" si="11"/>
        <v>2.6150000000000002</v>
      </c>
      <c r="L17" s="69">
        <f t="shared" si="12"/>
        <v>15.871</v>
      </c>
      <c r="M17" s="69">
        <f t="shared" si="19"/>
        <v>21.216000000000001</v>
      </c>
      <c r="N17" s="69"/>
      <c r="O17" s="70">
        <f t="shared" si="13"/>
        <v>0.16476592527250961</v>
      </c>
      <c r="P17" s="69"/>
      <c r="Q17" s="71">
        <f t="shared" si="14"/>
        <v>19.745878219604499</v>
      </c>
      <c r="R17" s="69"/>
      <c r="S17" s="70">
        <f t="shared" si="15"/>
        <v>9.7599999999999992E-2</v>
      </c>
      <c r="T17" s="70">
        <f t="shared" si="16"/>
        <v>0.18590000000000001</v>
      </c>
      <c r="U17" s="70">
        <f t="shared" si="17"/>
        <v>0.27579999999999999</v>
      </c>
      <c r="X17" s="36" t="s">
        <v>221</v>
      </c>
      <c r="Y17" s="36" t="s">
        <v>229</v>
      </c>
      <c r="Z17" s="34">
        <v>42850</v>
      </c>
      <c r="AA17" s="110" t="s">
        <v>252</v>
      </c>
      <c r="AB17" s="38" t="s">
        <v>239</v>
      </c>
      <c r="AC17" s="38"/>
      <c r="AD17" s="38"/>
      <c r="AE17" s="41">
        <f t="shared" si="18"/>
        <v>0</v>
      </c>
      <c r="AF17" s="39">
        <v>4264.3580000000002</v>
      </c>
      <c r="AG17" s="39">
        <v>4264.3580000000002</v>
      </c>
      <c r="AH17" s="108">
        <v>1576.4929999999999</v>
      </c>
      <c r="AI17" s="108"/>
      <c r="AJ17" s="108">
        <v>194.31</v>
      </c>
      <c r="AK17" s="108">
        <v>147.9</v>
      </c>
      <c r="AL17" s="108">
        <v>2.0384000000000002</v>
      </c>
      <c r="AM17" s="106"/>
      <c r="AN17" s="106">
        <v>2.6150000000000002</v>
      </c>
      <c r="AO17" s="106">
        <v>15.871</v>
      </c>
      <c r="AP17" s="106">
        <v>21.216000000000001</v>
      </c>
      <c r="AQ17" s="109"/>
      <c r="AR17" s="106">
        <v>19.745878219604499</v>
      </c>
      <c r="AS17" s="109"/>
      <c r="AT17" s="106">
        <v>9.76</v>
      </c>
      <c r="AU17" s="106">
        <v>18.59</v>
      </c>
      <c r="AV17" s="106">
        <v>27.58</v>
      </c>
    </row>
    <row r="18" spans="2:48">
      <c r="B18" s="67" t="str">
        <f t="shared" si="5"/>
        <v>Campbell Soup Co</v>
      </c>
      <c r="C18" s="67" t="str">
        <f t="shared" si="6"/>
        <v>Snyder's-Lance Inc</v>
      </c>
      <c r="D18" s="111">
        <f t="shared" si="7"/>
        <v>43087</v>
      </c>
      <c r="E18" s="73" t="str">
        <f t="shared" si="8"/>
        <v>Completed</v>
      </c>
      <c r="F18" s="73" t="str">
        <f t="shared" si="9"/>
        <v>100% Cash</v>
      </c>
      <c r="G18" s="50">
        <f t="shared" si="10"/>
        <v>4964.3140000000003</v>
      </c>
      <c r="H18" s="68"/>
      <c r="I18" s="68"/>
      <c r="J18" s="67"/>
      <c r="K18" s="69">
        <f t="shared" si="11"/>
        <v>2.8479999999999999</v>
      </c>
      <c r="L18" s="69">
        <f t="shared" si="12"/>
        <v>23.576000000000001</v>
      </c>
      <c r="M18" s="69">
        <f t="shared" si="19"/>
        <v>38.594999999999999</v>
      </c>
      <c r="N18" s="69"/>
      <c r="O18" s="70">
        <f t="shared" si="13"/>
        <v>0.12080081438751272</v>
      </c>
      <c r="P18" s="69"/>
      <c r="Q18" s="71" t="str">
        <f t="shared" si="14"/>
        <v>NA</v>
      </c>
      <c r="R18" s="69"/>
      <c r="S18" s="70">
        <f t="shared" si="15"/>
        <v>0.12560000000000002</v>
      </c>
      <c r="T18" s="70">
        <f t="shared" si="16"/>
        <v>0.30070000000000002</v>
      </c>
      <c r="U18" s="70">
        <f t="shared" si="17"/>
        <v>0.37819999999999998</v>
      </c>
      <c r="X18" s="36" t="s">
        <v>230</v>
      </c>
      <c r="Y18" s="36" t="s">
        <v>223</v>
      </c>
      <c r="Z18" s="34">
        <v>43087</v>
      </c>
      <c r="AA18" s="110" t="s">
        <v>252</v>
      </c>
      <c r="AB18" s="38" t="s">
        <v>238</v>
      </c>
      <c r="AC18" s="38"/>
      <c r="AD18" s="38"/>
      <c r="AE18" s="41">
        <f t="shared" si="18"/>
        <v>0</v>
      </c>
      <c r="AF18" s="39">
        <v>4964.3140000000003</v>
      </c>
      <c r="AG18" s="39">
        <v>4964.3140000000003</v>
      </c>
      <c r="AH18" s="108">
        <v>2123.4409999999998</v>
      </c>
      <c r="AI18" s="108"/>
      <c r="AJ18" s="108">
        <v>156.67400000000001</v>
      </c>
      <c r="AK18" s="108">
        <v>-49.8</v>
      </c>
      <c r="AL18" s="108">
        <v>-0.2432</v>
      </c>
      <c r="AM18" s="106"/>
      <c r="AN18" s="106">
        <v>2.8479999999999999</v>
      </c>
      <c r="AO18" s="106">
        <v>23.576000000000001</v>
      </c>
      <c r="AP18" s="106">
        <v>38.594999999999999</v>
      </c>
      <c r="AQ18" s="109"/>
      <c r="AR18" s="106"/>
      <c r="AS18" s="109"/>
      <c r="AT18" s="106">
        <v>12.56</v>
      </c>
      <c r="AU18" s="106">
        <v>30.07</v>
      </c>
      <c r="AV18" s="106">
        <v>37.82</v>
      </c>
    </row>
    <row r="19" spans="2:48">
      <c r="B19" s="67" t="str">
        <f t="shared" si="5"/>
        <v>General Mills Inc</v>
      </c>
      <c r="C19" s="67" t="str">
        <f t="shared" si="6"/>
        <v>Blue Buffalo Pet Products Inc</v>
      </c>
      <c r="D19" s="111">
        <f t="shared" si="7"/>
        <v>43154</v>
      </c>
      <c r="E19" s="73" t="str">
        <f t="shared" si="8"/>
        <v>Completed</v>
      </c>
      <c r="F19" s="73" t="str">
        <f t="shared" si="9"/>
        <v>100% Cash</v>
      </c>
      <c r="G19" s="50">
        <f t="shared" si="10"/>
        <v>7926.884</v>
      </c>
      <c r="H19" s="68"/>
      <c r="I19" s="68"/>
      <c r="J19" s="67"/>
      <c r="K19" s="69">
        <f t="shared" si="11"/>
        <v>6.3150000000000004</v>
      </c>
      <c r="L19" s="69">
        <f t="shared" si="12"/>
        <v>25.654</v>
      </c>
      <c r="M19" s="69">
        <f t="shared" si="19"/>
        <v>26.542999999999999</v>
      </c>
      <c r="N19" s="69"/>
      <c r="O19" s="70">
        <f t="shared" si="13"/>
        <v>0.24616044281593516</v>
      </c>
      <c r="P19" s="69"/>
      <c r="Q19" s="71">
        <f t="shared" si="14"/>
        <v>39.996002197265597</v>
      </c>
      <c r="R19" s="69"/>
      <c r="S19" s="70">
        <f t="shared" si="15"/>
        <v>0.17230000000000001</v>
      </c>
      <c r="T19" s="70">
        <f t="shared" si="16"/>
        <v>0.1399</v>
      </c>
      <c r="U19" s="70">
        <f t="shared" si="17"/>
        <v>0.20190000000000002</v>
      </c>
      <c r="X19" s="36" t="s">
        <v>231</v>
      </c>
      <c r="Y19" s="36" t="s">
        <v>232</v>
      </c>
      <c r="Z19" s="34">
        <v>43154</v>
      </c>
      <c r="AA19" s="110" t="s">
        <v>252</v>
      </c>
      <c r="AB19" s="38" t="s">
        <v>238</v>
      </c>
      <c r="AC19" s="38"/>
      <c r="AD19" s="38"/>
      <c r="AE19" s="41">
        <f t="shared" si="18"/>
        <v>0</v>
      </c>
      <c r="AF19" s="39">
        <v>7926.884</v>
      </c>
      <c r="AG19" s="39">
        <v>7926.884</v>
      </c>
      <c r="AH19" s="108">
        <v>1274.5889999999999</v>
      </c>
      <c r="AI19" s="108"/>
      <c r="AJ19" s="108">
        <v>303.23899999999998</v>
      </c>
      <c r="AK19" s="108">
        <v>198.9</v>
      </c>
      <c r="AL19" s="108">
        <v>1.0001</v>
      </c>
      <c r="AM19" s="106"/>
      <c r="AN19" s="106">
        <v>6.3150000000000004</v>
      </c>
      <c r="AO19" s="106">
        <v>25.654</v>
      </c>
      <c r="AP19" s="106">
        <v>26.542999999999999</v>
      </c>
      <c r="AQ19" s="109"/>
      <c r="AR19" s="106">
        <v>39.996002197265597</v>
      </c>
      <c r="AS19" s="109"/>
      <c r="AT19" s="106">
        <v>17.23</v>
      </c>
      <c r="AU19" s="106">
        <v>13.99</v>
      </c>
      <c r="AV19" s="106">
        <v>20.190000000000001</v>
      </c>
    </row>
    <row r="20" spans="2:48">
      <c r="B20" s="67" t="str">
        <f t="shared" si="5"/>
        <v>Conagra Brands Inc</v>
      </c>
      <c r="C20" s="67" t="str">
        <f t="shared" si="6"/>
        <v>Pinnacle Foods Inc</v>
      </c>
      <c r="D20" s="111">
        <f t="shared" si="7"/>
        <v>43278</v>
      </c>
      <c r="E20" s="73" t="str">
        <f t="shared" si="8"/>
        <v>Completed</v>
      </c>
      <c r="F20" s="73" t="str">
        <f t="shared" si="9"/>
        <v>NA</v>
      </c>
      <c r="G20" s="50">
        <f t="shared" si="10"/>
        <v>8150.165</v>
      </c>
      <c r="H20" s="68"/>
      <c r="I20" s="68"/>
      <c r="J20" s="67"/>
      <c r="K20" s="69">
        <f t="shared" si="11"/>
        <v>3.4289999999999998</v>
      </c>
      <c r="L20" s="69">
        <f t="shared" si="12"/>
        <v>16.41</v>
      </c>
      <c r="M20" s="69">
        <f t="shared" si="19"/>
        <v>20.542000000000002</v>
      </c>
      <c r="N20" s="69"/>
      <c r="O20" s="70">
        <f t="shared" si="13"/>
        <v>0.2089579524680073</v>
      </c>
      <c r="P20" s="69"/>
      <c r="Q20" s="71">
        <f t="shared" si="14"/>
        <v>35.1419868469238</v>
      </c>
      <c r="R20" s="69"/>
      <c r="S20" s="70">
        <f t="shared" si="15"/>
        <v>0.1201</v>
      </c>
      <c r="T20" s="70">
        <f t="shared" si="16"/>
        <v>0.11609999999999999</v>
      </c>
      <c r="U20" s="70">
        <f t="shared" si="17"/>
        <v>0.16949999999999998</v>
      </c>
      <c r="X20" s="36" t="s">
        <v>233</v>
      </c>
      <c r="Y20" s="36" t="s">
        <v>234</v>
      </c>
      <c r="Z20" s="34">
        <v>43278</v>
      </c>
      <c r="AA20" s="110" t="s">
        <v>252</v>
      </c>
      <c r="AB20" s="38"/>
      <c r="AC20" s="38"/>
      <c r="AD20" s="38"/>
      <c r="AE20" s="41">
        <f t="shared" si="18"/>
        <v>0</v>
      </c>
      <c r="AF20" s="39">
        <v>8150.165</v>
      </c>
      <c r="AG20" s="39">
        <v>8150.165</v>
      </c>
      <c r="AH20" s="108">
        <v>3156.76</v>
      </c>
      <c r="AI20" s="108"/>
      <c r="AJ20" s="108">
        <v>526.94899999999996</v>
      </c>
      <c r="AK20" s="108">
        <v>231.3</v>
      </c>
      <c r="AL20" s="108">
        <v>1.9333</v>
      </c>
      <c r="AM20" s="106"/>
      <c r="AN20" s="106">
        <v>3.4289999999999998</v>
      </c>
      <c r="AO20" s="106">
        <v>16.41</v>
      </c>
      <c r="AP20" s="106">
        <v>20.542000000000002</v>
      </c>
      <c r="AQ20" s="109"/>
      <c r="AR20" s="106">
        <v>35.1419868469238</v>
      </c>
      <c r="AS20" s="109"/>
      <c r="AT20" s="106">
        <v>12.01</v>
      </c>
      <c r="AU20" s="106">
        <v>11.61</v>
      </c>
      <c r="AV20" s="106">
        <v>16.95</v>
      </c>
    </row>
    <row r="21" spans="2:48">
      <c r="B21" s="67"/>
      <c r="D21" s="72"/>
      <c r="E21" s="72"/>
      <c r="F21" s="72"/>
      <c r="G21" s="72"/>
      <c r="H21" s="72"/>
      <c r="I21" s="72"/>
      <c r="J21" s="67"/>
      <c r="K21" s="73"/>
      <c r="L21" s="73"/>
      <c r="M21" s="73"/>
      <c r="N21" s="73"/>
      <c r="O21" s="70"/>
      <c r="P21" s="73"/>
      <c r="Q21" s="67"/>
      <c r="R21" s="73"/>
      <c r="S21" s="73"/>
      <c r="T21" s="73"/>
      <c r="U21" s="73"/>
      <c r="AE21" s="41"/>
    </row>
    <row r="22" spans="2:48">
      <c r="B22" s="74" t="s">
        <v>201</v>
      </c>
      <c r="C22" s="103"/>
      <c r="D22" s="75"/>
      <c r="E22" s="75"/>
      <c r="F22" s="75"/>
      <c r="G22" s="75"/>
      <c r="H22" s="75"/>
      <c r="I22" s="75"/>
      <c r="J22" s="76"/>
      <c r="K22" s="77">
        <f>IF(ISERROR(MAX(K13:K20)),"NA",MAX(K13:K20))</f>
        <v>6.3150000000000004</v>
      </c>
      <c r="L22" s="77">
        <f>IF(ISERROR(MAX(L13:L20)),"NA",MAX(L13:L20))</f>
        <v>25.654</v>
      </c>
      <c r="M22" s="77">
        <f>IF(ISERROR(MAX(M13:M20)),"NA",MAX(M13:M20))</f>
        <v>38.594999999999999</v>
      </c>
      <c r="N22" s="77"/>
      <c r="O22" s="78">
        <f>IF(ISERROR(MAX(O13:O20)),"NA",MAX(O13:O20))</f>
        <v>0.25723909382300214</v>
      </c>
      <c r="P22" s="77"/>
      <c r="Q22" s="77">
        <f>IF(ISERROR(MAX(Q13:Q20)),"NA",MAX(Q13:Q20))</f>
        <v>52.886425018310497</v>
      </c>
      <c r="R22" s="77"/>
      <c r="S22" s="78">
        <f>IF(ISERROR(MAX(S13:S20)),"NA",MAX(S13:S20))</f>
        <v>0.70180000000000009</v>
      </c>
      <c r="T22" s="78">
        <f>IF(ISERROR(MAX(T13:T20)),"NA",MAX(T13:T20))</f>
        <v>0.76769999999999994</v>
      </c>
      <c r="U22" s="78">
        <f>IF(ISERROR(MAX(U13:U20)),"NA",MAX(U13:U20))</f>
        <v>0.78170000000000006</v>
      </c>
      <c r="AE22" s="41"/>
      <c r="AI22" s="52"/>
      <c r="AO22" s="52"/>
    </row>
    <row r="23" spans="2:48">
      <c r="B23" s="74" t="s">
        <v>75</v>
      </c>
      <c r="C23" s="103"/>
      <c r="D23" s="75"/>
      <c r="E23" s="75"/>
      <c r="F23" s="75"/>
      <c r="G23" s="75"/>
      <c r="H23" s="75"/>
      <c r="I23" s="75"/>
      <c r="J23" s="76"/>
      <c r="K23" s="77">
        <f>IF(ISERROR(AVERAGE(K13:K20)),"NA",AVERAGE(K13:K20))</f>
        <v>3.397875</v>
      </c>
      <c r="L23" s="77">
        <f>IF(ISERROR(AVERAGE(L13:L20)),"NA",AVERAGE(L13:L20))</f>
        <v>20.016857142857141</v>
      </c>
      <c r="M23" s="77">
        <f>IF(ISERROR(AVERAGE(M13:M20)),"NA",AVERAGE(M13:M20))</f>
        <v>26.146714285714289</v>
      </c>
      <c r="N23" s="77"/>
      <c r="O23" s="78">
        <f>IF(ISERROR(AVERAGE(O13:O20)),"NA",AVERAGE(O13:O20))</f>
        <v>0.17904167586038186</v>
      </c>
      <c r="P23" s="77"/>
      <c r="Q23" s="77">
        <f>IF(ISERROR(AVERAGE(Q13:Q20)),"NA",AVERAGE(Q13:Q20))</f>
        <v>31.256361212049192</v>
      </c>
      <c r="R23" s="77"/>
      <c r="S23" s="78">
        <f>IF(ISERROR(AVERAGE(S13:S20)),"NA",AVERAGE(S13:S20))</f>
        <v>0.23918749999999997</v>
      </c>
      <c r="T23" s="78">
        <f>IF(ISERROR(AVERAGE(T13:T20)),"NA",AVERAGE(T13:T20))</f>
        <v>0.26892499999999997</v>
      </c>
      <c r="U23" s="78">
        <f>IF(ISERROR(AVERAGE(U13:U20)),"NA",AVERAGE(U13:U20))</f>
        <v>0.30896250000000003</v>
      </c>
      <c r="AE23" s="41"/>
    </row>
    <row r="24" spans="2:48">
      <c r="B24" s="74" t="s">
        <v>204</v>
      </c>
      <c r="C24" s="103"/>
      <c r="D24" s="75"/>
      <c r="E24" s="75"/>
      <c r="F24" s="75"/>
      <c r="G24" s="75"/>
      <c r="H24" s="75"/>
      <c r="I24" s="75"/>
      <c r="J24" s="76"/>
      <c r="K24" s="77">
        <f>(SUM(K13:K20)-K26-K22)/(COUNT(K13:K20)-2)</f>
        <v>3.1314999999999995</v>
      </c>
      <c r="L24" s="77">
        <f>(SUM(L13:L20)-L26-L22)/(COUNT(L13:L20)-2)</f>
        <v>19.7742</v>
      </c>
      <c r="M24" s="77">
        <f>(SUM(M13:M20)-M26-M22)/(COUNT(M13:M20)-2)</f>
        <v>24.780200000000001</v>
      </c>
      <c r="N24" s="77"/>
      <c r="O24" s="78">
        <f>(SUM(O13:O20)-O26-O22)/(COUNT(O13:O20)-2)</f>
        <v>0.17505036456243162</v>
      </c>
      <c r="P24" s="77"/>
      <c r="Q24" s="77">
        <f>(SUM(Q13:Q20)-Q26-Q22)/(COUNT(Q13:Q20)-2)</f>
        <v>32.23185539245604</v>
      </c>
      <c r="R24" s="77"/>
      <c r="S24" s="78">
        <f>(SUM(S13:S20)-S26-S22)/(COUNT(S13:S20)-2)</f>
        <v>0.18568333333333328</v>
      </c>
      <c r="T24" s="78">
        <f>(SUM(T13:T20)-T26-T22)/(COUNT(T13:T20)-2)</f>
        <v>0.21126666666666663</v>
      </c>
      <c r="U24" s="78">
        <f>(SUM(U13:U20)-U26-U22)/(COUNT(U13:U20)-2)</f>
        <v>0.25341666666666668</v>
      </c>
      <c r="AE24" s="41"/>
    </row>
    <row r="25" spans="2:48">
      <c r="B25" s="74" t="s">
        <v>74</v>
      </c>
      <c r="C25" s="103"/>
      <c r="D25" s="75"/>
      <c r="E25" s="75"/>
      <c r="F25" s="75"/>
      <c r="G25" s="75"/>
      <c r="H25" s="75"/>
      <c r="I25" s="75"/>
      <c r="J25" s="76"/>
      <c r="K25" s="77">
        <f>IF(ISERROR(MEDIAN(K13:K20)),"NA",MEDIAN(K13:K20))</f>
        <v>2.9255</v>
      </c>
      <c r="L25" s="77">
        <f>IF(ISERROR(MEDIAN(L13:L20)),"NA",MEDIAN(L13:L20))</f>
        <v>18.407</v>
      </c>
      <c r="M25" s="77">
        <f>IF(ISERROR(MEDIAN(M13:M20)),"NA",MEDIAN(M13:M20))</f>
        <v>22.138999999999999</v>
      </c>
      <c r="N25" s="77"/>
      <c r="O25" s="78">
        <f>IF(ISERROR(MEDIAN(O13:O20)),"NA",MEDIAN(O13:O20))</f>
        <v>0.16476592527250961</v>
      </c>
      <c r="P25" s="77"/>
      <c r="Q25" s="77">
        <f>IF(ISERROR(MEDIAN(Q13:Q20)),"NA",MEDIAN(Q13:Q20))</f>
        <v>35.1419868469238</v>
      </c>
      <c r="R25" s="77"/>
      <c r="S25" s="78">
        <f>IF(ISERROR(MEDIAN(S13:S20)),"NA",MEDIAN(S13:S20))</f>
        <v>0.17915000000000003</v>
      </c>
      <c r="T25" s="78">
        <f>IF(ISERROR(MEDIAN(T13:T20)),"NA",MEDIAN(T13:T20))</f>
        <v>0.19979999999999998</v>
      </c>
      <c r="U25" s="78">
        <f>IF(ISERROR(MEDIAN(U13:U20)),"NA",MEDIAN(U13:U20))</f>
        <v>0.23885000000000001</v>
      </c>
      <c r="AE25" s="41"/>
      <c r="AI25" s="52"/>
      <c r="AO25" s="52"/>
    </row>
    <row r="26" spans="2:48">
      <c r="B26" s="74" t="s">
        <v>200</v>
      </c>
      <c r="C26" s="103"/>
      <c r="D26" s="75"/>
      <c r="E26" s="75"/>
      <c r="F26" s="75"/>
      <c r="G26" s="75"/>
      <c r="H26" s="75"/>
      <c r="I26" s="75"/>
      <c r="J26" s="76"/>
      <c r="K26" s="77">
        <f>IF(ISERROR(MIN(K13:K20)),"NA",MIN(K13:K20))</f>
        <v>2.0790000000000002</v>
      </c>
      <c r="L26" s="77">
        <f>IF(ISERROR(MIN(L13:L20)),"NA",MIN(L13:L20))</f>
        <v>15.593</v>
      </c>
      <c r="M26" s="77">
        <f>IF(ISERROR(MIN(M13:M20)),"NA",MIN(M13:M20))</f>
        <v>20.530999999999999</v>
      </c>
      <c r="N26" s="77"/>
      <c r="O26" s="78">
        <f>IF(ISERROR(MIN(O13:O20)),"NA",MIN(O13:O20))</f>
        <v>0.12080081438751272</v>
      </c>
      <c r="P26" s="77"/>
      <c r="Q26" s="77">
        <f>IF(ISERROR(MIN(Q13:Q20)),"NA",MIN(Q13:Q20))</f>
        <v>4.7488265037536603</v>
      </c>
      <c r="R26" s="77"/>
      <c r="S26" s="78">
        <f>IF(ISERROR(MIN(S13:S20)),"NA",MIN(S13:S20))</f>
        <v>9.7599999999999992E-2</v>
      </c>
      <c r="T26" s="78">
        <f>IF(ISERROR(MIN(T13:T20)),"NA",MIN(T13:T20))</f>
        <v>0.11609999999999999</v>
      </c>
      <c r="U26" s="78">
        <f>IF(ISERROR(MIN(U13:U20)),"NA",MIN(U13:U20))</f>
        <v>0.16949999999999998</v>
      </c>
      <c r="AE26" s="41"/>
      <c r="AI26" s="52"/>
      <c r="AO26" s="52"/>
    </row>
    <row r="27" spans="2:48">
      <c r="B27" s="55"/>
      <c r="D27" s="79"/>
      <c r="E27" s="79"/>
      <c r="F27" s="79"/>
      <c r="G27" s="79"/>
      <c r="H27" s="79"/>
      <c r="I27" s="79"/>
      <c r="J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AE27" s="41"/>
    </row>
    <row r="28" spans="2:48">
      <c r="B28" s="3" t="str">
        <f>""&amp;Data!C3&amp;" - Implied Valuation Summary"</f>
        <v>Serial Co. - Implied Valuation Summary</v>
      </c>
      <c r="D28" s="79"/>
      <c r="E28" s="79"/>
      <c r="F28" s="79"/>
      <c r="G28" s="79"/>
      <c r="H28" s="79"/>
      <c r="I28" s="79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AE28" s="41"/>
    </row>
    <row r="29" spans="2:48">
      <c r="B29" s="55"/>
      <c r="D29" s="79"/>
      <c r="E29" s="79"/>
      <c r="F29" s="79"/>
      <c r="G29" s="79"/>
      <c r="H29" s="79"/>
      <c r="I29" s="79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Z29" t="s">
        <v>258</v>
      </c>
      <c r="AB29" t="s">
        <v>258</v>
      </c>
      <c r="AE29" s="41"/>
    </row>
    <row r="30" spans="2:48">
      <c r="B30" s="67" t="str">
        <f>""&amp;Data!C3&amp;" - Metric"</f>
        <v>Serial Co. - Metric</v>
      </c>
      <c r="D30" s="80"/>
      <c r="E30" s="80"/>
      <c r="F30" s="80"/>
      <c r="G30" s="80"/>
      <c r="H30" s="80"/>
      <c r="I30" s="80"/>
      <c r="J30" s="67"/>
      <c r="K30" s="89">
        <f>AH30</f>
        <v>16311</v>
      </c>
      <c r="L30" s="89">
        <f t="shared" ref="L30:M30" si="20">AI30</f>
        <v>2129</v>
      </c>
      <c r="M30" s="89">
        <f t="shared" si="20"/>
        <v>1651</v>
      </c>
      <c r="N30" s="89"/>
      <c r="O30" s="89"/>
      <c r="P30" s="89"/>
      <c r="Q30" s="90">
        <f>AL30</f>
        <v>3.79</v>
      </c>
      <c r="R30" s="89"/>
      <c r="S30" s="90"/>
      <c r="T30" s="90"/>
      <c r="U30" s="90"/>
      <c r="X30" s="36"/>
      <c r="Y30" s="36" t="str">
        <f>Data!C3</f>
        <v>Serial Co.</v>
      </c>
      <c r="Z30" s="36">
        <v>342</v>
      </c>
      <c r="AA30" s="36" t="s">
        <v>257</v>
      </c>
      <c r="AB30" s="36">
        <v>342</v>
      </c>
      <c r="AC30" s="36"/>
      <c r="AD30" s="39">
        <v>3332</v>
      </c>
      <c r="AE30" s="41"/>
      <c r="AF30" s="36"/>
      <c r="AG30" s="36"/>
      <c r="AH30" s="39">
        <v>16311</v>
      </c>
      <c r="AI30" s="39">
        <v>2129</v>
      </c>
      <c r="AJ30" s="39">
        <v>1651</v>
      </c>
      <c r="AK30" s="39"/>
      <c r="AL30" s="40">
        <v>3.79</v>
      </c>
      <c r="AM30" s="39"/>
      <c r="AN30" s="39"/>
      <c r="AO30" s="39"/>
      <c r="AP30" s="39"/>
      <c r="AQ30" s="109"/>
      <c r="AR30" s="39"/>
      <c r="AS30" s="109"/>
      <c r="AT30" s="39"/>
      <c r="AU30" s="39"/>
      <c r="AV30" s="39"/>
    </row>
    <row r="31" spans="2:48">
      <c r="B31" s="55"/>
      <c r="D31" s="55"/>
      <c r="E31" s="55"/>
      <c r="F31" s="55"/>
      <c r="G31" s="55"/>
      <c r="H31" s="55"/>
      <c r="I31" s="55"/>
      <c r="J31" s="55"/>
      <c r="K31" s="96"/>
      <c r="L31" s="96"/>
      <c r="M31" s="96"/>
      <c r="N31" s="55"/>
      <c r="O31" s="55"/>
      <c r="P31" s="55"/>
      <c r="Q31" s="55"/>
      <c r="R31" s="55"/>
      <c r="S31" s="50"/>
      <c r="T31" s="50"/>
      <c r="U31" s="50"/>
      <c r="X31" s="36"/>
      <c r="Y31" s="36"/>
      <c r="Z31" s="36"/>
      <c r="AA31" s="36"/>
      <c r="AB31" s="36"/>
      <c r="AC31" s="36"/>
      <c r="AD31" s="36"/>
      <c r="AE31" s="41"/>
      <c r="AF31" s="36"/>
      <c r="AG31" s="36"/>
      <c r="AH31" s="39"/>
      <c r="AI31" s="39"/>
      <c r="AJ31" s="39"/>
      <c r="AK31" s="39"/>
      <c r="AL31" s="39"/>
      <c r="AM31" s="39"/>
      <c r="AN31" s="39"/>
      <c r="AO31" s="39"/>
      <c r="AP31" s="39"/>
      <c r="AQ31" s="109"/>
      <c r="AR31" s="39"/>
      <c r="AS31" s="109"/>
      <c r="AT31" s="39"/>
      <c r="AU31" s="39"/>
      <c r="AV31" s="39"/>
    </row>
    <row r="32" spans="2:48">
      <c r="B32" t="s">
        <v>196</v>
      </c>
      <c r="D32" s="55"/>
      <c r="E32" s="55"/>
      <c r="F32" s="55"/>
      <c r="G32" s="55"/>
      <c r="H32" s="55"/>
      <c r="I32" s="55"/>
      <c r="J32" s="55"/>
      <c r="K32" s="97">
        <f t="shared" ref="K32:M34" si="21">IF(ISERROR(K23*K$30),"NA",K23*K$30)</f>
        <v>55422.739125</v>
      </c>
      <c r="L32" s="97">
        <f t="shared" si="21"/>
        <v>42615.888857142854</v>
      </c>
      <c r="M32" s="97">
        <f t="shared" si="21"/>
        <v>43168.225285714288</v>
      </c>
      <c r="N32" s="55"/>
      <c r="O32" s="55"/>
      <c r="P32" s="55"/>
      <c r="Q32" s="55"/>
      <c r="R32" s="55"/>
      <c r="S32" s="50"/>
      <c r="T32" s="50"/>
      <c r="U32" s="50"/>
    </row>
    <row r="33" spans="2:45">
      <c r="B33" s="98" t="s">
        <v>202</v>
      </c>
      <c r="C33" s="103"/>
      <c r="D33" s="98"/>
      <c r="E33" s="98"/>
      <c r="F33" s="98"/>
      <c r="G33" s="98"/>
      <c r="H33" s="98"/>
      <c r="I33" s="98"/>
      <c r="J33" s="98"/>
      <c r="K33" s="99">
        <f t="shared" si="21"/>
        <v>51077.896499999995</v>
      </c>
      <c r="L33" s="99">
        <f t="shared" si="21"/>
        <v>42099.271800000002</v>
      </c>
      <c r="M33" s="99">
        <f t="shared" si="21"/>
        <v>40912.110200000003</v>
      </c>
      <c r="N33" s="98"/>
      <c r="O33" s="98"/>
      <c r="P33" s="98"/>
      <c r="Q33" s="98"/>
      <c r="R33" s="98"/>
      <c r="S33" s="100"/>
      <c r="T33" s="100"/>
      <c r="U33" s="100"/>
    </row>
    <row r="34" spans="2:45">
      <c r="B34" t="s">
        <v>197</v>
      </c>
      <c r="D34" s="55"/>
      <c r="E34" s="55"/>
      <c r="F34" s="55"/>
      <c r="G34" s="55"/>
      <c r="H34" s="55"/>
      <c r="I34" s="55"/>
      <c r="J34" s="55"/>
      <c r="K34" s="97">
        <f t="shared" si="21"/>
        <v>47717.830499999996</v>
      </c>
      <c r="L34" s="97">
        <f t="shared" si="21"/>
        <v>39188.502999999997</v>
      </c>
      <c r="M34" s="97">
        <f t="shared" si="21"/>
        <v>36551.489000000001</v>
      </c>
      <c r="N34" s="55"/>
      <c r="O34" s="55"/>
      <c r="P34" s="55"/>
      <c r="Q34" s="55"/>
      <c r="R34" s="55"/>
      <c r="S34" s="50"/>
      <c r="T34" s="50"/>
      <c r="U34" s="50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5"/>
      <c r="AI34" s="85"/>
      <c r="AJ34" s="85"/>
      <c r="AK34" s="85"/>
      <c r="AL34" s="85"/>
      <c r="AM34" s="85"/>
      <c r="AN34" s="85"/>
      <c r="AO34" s="85"/>
      <c r="AP34" s="85"/>
      <c r="AQ34" s="50"/>
      <c r="AS34" s="50"/>
    </row>
    <row r="35" spans="2:45">
      <c r="D35" s="55"/>
      <c r="E35" s="55"/>
      <c r="F35" s="55"/>
      <c r="G35" s="55"/>
      <c r="H35" s="55"/>
      <c r="I35" s="55"/>
      <c r="J35" s="55"/>
      <c r="K35" s="97"/>
      <c r="L35" s="97"/>
      <c r="M35" s="97"/>
      <c r="N35" s="55"/>
      <c r="O35" s="55"/>
      <c r="P35" s="55"/>
      <c r="Q35" s="55"/>
      <c r="R35" s="55"/>
    </row>
    <row r="36" spans="2:45">
      <c r="B36" t="s">
        <v>254</v>
      </c>
      <c r="D36" s="55"/>
      <c r="E36" s="55"/>
      <c r="F36" s="55"/>
      <c r="G36" s="55"/>
      <c r="H36" s="55"/>
      <c r="I36" s="55"/>
      <c r="J36" s="55"/>
      <c r="K36" s="7">
        <f>0-$AD$30</f>
        <v>-3332</v>
      </c>
      <c r="L36" s="7">
        <f t="shared" ref="L36:M36" si="22">0-$AD$30</f>
        <v>-3332</v>
      </c>
      <c r="M36" s="7">
        <f t="shared" si="22"/>
        <v>-3332</v>
      </c>
      <c r="N36" s="55"/>
      <c r="O36" s="55"/>
      <c r="P36" s="55"/>
      <c r="Q36" s="55"/>
      <c r="R36" s="55"/>
    </row>
    <row r="37" spans="2:45">
      <c r="D37" s="55"/>
      <c r="E37" s="55"/>
      <c r="F37" s="55"/>
      <c r="G37" s="55"/>
      <c r="H37" s="55"/>
      <c r="I37" s="55"/>
      <c r="J37" s="55"/>
      <c r="K37" s="97"/>
      <c r="L37" s="97"/>
      <c r="M37" s="97"/>
      <c r="N37" s="55"/>
      <c r="O37" s="55"/>
      <c r="P37" s="55"/>
      <c r="Q37" s="55"/>
      <c r="R37" s="55"/>
    </row>
    <row r="38" spans="2:45">
      <c r="B38" t="s">
        <v>198</v>
      </c>
      <c r="K38" s="50">
        <f t="shared" ref="K38:M38" si="23">K32+K$36</f>
        <v>52090.739125</v>
      </c>
      <c r="L38" s="50">
        <f t="shared" si="23"/>
        <v>39283.888857142854</v>
      </c>
      <c r="M38" s="50">
        <f t="shared" si="23"/>
        <v>39836.225285714288</v>
      </c>
      <c r="Q38" s="50">
        <f>IF($C$5="Yes",IF(ISERROR(Q23*Q$30),"NA",Q23*Q$30)*$AB$30,IF(ISERROR(Q23*Q$30),"NA",Q23*Q$30)*$Z$30)</f>
        <v>40513.870275833928</v>
      </c>
      <c r="S38" s="50"/>
      <c r="T38" s="50"/>
      <c r="U38" s="50"/>
    </row>
    <row r="39" spans="2:45">
      <c r="B39" s="98" t="s">
        <v>203</v>
      </c>
      <c r="C39" s="103"/>
      <c r="D39" s="98"/>
      <c r="E39" s="98"/>
      <c r="F39" s="98"/>
      <c r="G39" s="98"/>
      <c r="H39" s="98"/>
      <c r="I39" s="98"/>
      <c r="J39" s="98"/>
      <c r="K39" s="99">
        <f t="shared" ref="K39:M39" si="24">K33+K$36</f>
        <v>47745.896499999995</v>
      </c>
      <c r="L39" s="99">
        <f t="shared" si="24"/>
        <v>38767.271800000002</v>
      </c>
      <c r="M39" s="99">
        <f t="shared" si="24"/>
        <v>37580.110200000003</v>
      </c>
      <c r="N39" s="98"/>
      <c r="O39" s="98"/>
      <c r="P39" s="98"/>
      <c r="Q39" s="100">
        <f>IF($C$5="Yes",IF(ISERROR(Q24*Q$30),"NA",Q24*Q$30)*$AB$30,IF(ISERROR(Q24*Q$30),"NA",Q24*Q$30)*$Z$30)</f>
        <v>41778.286322593667</v>
      </c>
      <c r="R39" s="98"/>
      <c r="S39" s="100"/>
      <c r="T39" s="100"/>
      <c r="U39" s="100"/>
    </row>
    <row r="40" spans="2:45">
      <c r="B40" t="s">
        <v>199</v>
      </c>
      <c r="K40" s="50">
        <f>K34+K$36</f>
        <v>44385.830499999996</v>
      </c>
      <c r="L40" s="50">
        <f>L34+L$36</f>
        <v>35856.502999999997</v>
      </c>
      <c r="M40" s="50">
        <f>M34+M$36</f>
        <v>33219.489000000001</v>
      </c>
      <c r="Q40" s="50">
        <f>IF($C$5="Yes",IF(ISERROR(Q25*Q$30),"NA",Q25*Q$30)*$AB$30,IF(ISERROR(Q25*Q$30),"NA",Q25*Q$30)*$Z$30)</f>
        <v>45550.340511245697</v>
      </c>
      <c r="S40" s="50"/>
      <c r="T40" s="50"/>
      <c r="U40" s="50"/>
    </row>
    <row r="42" spans="2:45">
      <c r="B42" t="s">
        <v>267</v>
      </c>
      <c r="K42" s="113">
        <f t="shared" ref="K42:M44" si="25">IF($C$5="Yes",IF(ISERROR(K38/$AB$30),"NA",K38/$AB$30),IF(ISERROR(K38/$Z$30),"NA",K38/$Z$30))</f>
        <v>152.31210270467835</v>
      </c>
      <c r="L42" s="113">
        <f t="shared" si="25"/>
        <v>114.86517209690894</v>
      </c>
      <c r="M42" s="113">
        <f t="shared" si="25"/>
        <v>116.48019089390142</v>
      </c>
      <c r="Q42" s="113">
        <f>IF($C$5="Yes",IF(ISERROR(Q38/$AB$30),"NA",Q38/$AB$30),IF(ISERROR(Q38/$Z$30),"NA",Q38/$Z$30))</f>
        <v>118.46160899366646</v>
      </c>
    </row>
    <row r="43" spans="2:45">
      <c r="B43" s="98" t="s">
        <v>268</v>
      </c>
      <c r="C43" s="103"/>
      <c r="D43" s="103"/>
      <c r="E43" s="103"/>
      <c r="F43" s="103"/>
      <c r="G43" s="103"/>
      <c r="H43" s="103"/>
      <c r="I43" s="103"/>
      <c r="J43" s="103"/>
      <c r="K43" s="115">
        <f t="shared" si="25"/>
        <v>139.60788450292395</v>
      </c>
      <c r="L43" s="115">
        <f t="shared" si="25"/>
        <v>113.35459590643275</v>
      </c>
      <c r="M43" s="115">
        <f t="shared" si="25"/>
        <v>109.88336315789475</v>
      </c>
      <c r="N43" s="103"/>
      <c r="O43" s="103"/>
      <c r="P43" s="103"/>
      <c r="Q43" s="115">
        <f>IF($C$5="Yes",IF(ISERROR(Q39/$AB$30),"NA",Q39/$AB$30),IF(ISERROR(Q39/$Z$30),"NA",Q39/$Z$30))</f>
        <v>122.15873193740839</v>
      </c>
      <c r="R43" s="103"/>
      <c r="S43" s="103"/>
      <c r="T43" s="103"/>
      <c r="U43" s="103"/>
    </row>
    <row r="44" spans="2:45">
      <c r="B44" t="s">
        <v>266</v>
      </c>
      <c r="K44" s="113">
        <f t="shared" si="25"/>
        <v>129.78313011695906</v>
      </c>
      <c r="L44" s="113">
        <f t="shared" si="25"/>
        <v>104.8435760233918</v>
      </c>
      <c r="M44" s="113">
        <f t="shared" si="25"/>
        <v>97.133008771929823</v>
      </c>
      <c r="Q44" s="113">
        <f>IF($C$5="Yes",IF(ISERROR(Q40/$AB$30),"NA",Q40/$AB$30),IF(ISERROR(Q40/$Z$30),"NA",Q40/$Z$30))</f>
        <v>133.18813014984121</v>
      </c>
    </row>
    <row r="45" spans="2: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7" spans="2:45">
      <c r="B47" s="3" t="s">
        <v>283</v>
      </c>
      <c r="C47" t="s">
        <v>282</v>
      </c>
      <c r="D47">
        <v>313</v>
      </c>
    </row>
    <row r="48" spans="2:45">
      <c r="C48" t="s">
        <v>284</v>
      </c>
      <c r="D48">
        <v>77</v>
      </c>
    </row>
    <row r="49" spans="3:4">
      <c r="C49" t="s">
        <v>285</v>
      </c>
      <c r="D49">
        <v>58</v>
      </c>
    </row>
    <row r="50" spans="3:4">
      <c r="C50" t="s">
        <v>286</v>
      </c>
      <c r="D50">
        <v>12</v>
      </c>
    </row>
    <row r="51" spans="3:4">
      <c r="C51" t="s">
        <v>287</v>
      </c>
      <c r="D51">
        <v>8</v>
      </c>
    </row>
  </sheetData>
  <pageMargins left="0.7" right="0.7" top="0.75" bottom="0.75" header="0.3" footer="0.3"/>
  <pageSetup scale="54" orientation="landscape" verticalDpi="0" r:id="rId1"/>
  <headerFooter>
    <oddFooter>&amp;L© Atif Ellahie&amp;C&amp;P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9EBD-ABA7-4201-900F-F20F821F3B37}">
  <sheetPr>
    <pageSetUpPr fitToPage="1"/>
  </sheetPr>
  <dimension ref="B1:X34"/>
  <sheetViews>
    <sheetView showGridLines="0" zoomScaleNormal="85" workbookViewId="0">
      <selection activeCell="C5" sqref="C5"/>
    </sheetView>
  </sheetViews>
  <sheetFormatPr baseColWidth="10" defaultColWidth="8.83203125" defaultRowHeight="15" outlineLevelCol="2"/>
  <cols>
    <col min="1" max="1" width="2.83203125" customWidth="1"/>
    <col min="2" max="2" width="15.6640625" customWidth="1"/>
    <col min="3" max="3" width="10" customWidth="1"/>
    <col min="6" max="7" width="10.5" bestFit="1" customWidth="1"/>
    <col min="8" max="9" width="9.5" customWidth="1"/>
    <col min="18" max="18" width="30.5" bestFit="1" customWidth="1" outlineLevel="2"/>
    <col min="19" max="22" width="9" bestFit="1" customWidth="1" outlineLevel="2"/>
    <col min="23" max="23" width="8.83203125" outlineLevel="2"/>
    <col min="24" max="24" width="8.83203125" outlineLevel="1"/>
  </cols>
  <sheetData>
    <row r="1" spans="2:22" ht="21">
      <c r="B1" s="31" t="str">
        <f>""&amp;C3&amp;" -  Valuation Summary"</f>
        <v>Serial Co. -  Valuation Summary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R1" t="s">
        <v>276</v>
      </c>
    </row>
    <row r="2" spans="2:22">
      <c r="R2" s="3" t="s">
        <v>263</v>
      </c>
    </row>
    <row r="3" spans="2:22">
      <c r="B3" t="s">
        <v>52</v>
      </c>
      <c r="C3" s="122" t="str">
        <f>Data!C3</f>
        <v>Serial Co.</v>
      </c>
      <c r="S3" s="116" t="s">
        <v>274</v>
      </c>
      <c r="T3" s="117"/>
      <c r="U3" s="116" t="s">
        <v>74</v>
      </c>
      <c r="V3" s="116"/>
    </row>
    <row r="4" spans="2:22">
      <c r="B4" t="s">
        <v>44</v>
      </c>
      <c r="C4" s="123">
        <f>DCF!C3</f>
        <v>45016</v>
      </c>
      <c r="R4" s="6"/>
      <c r="S4" s="119" t="s">
        <v>115</v>
      </c>
      <c r="T4" s="120" t="s">
        <v>275</v>
      </c>
      <c r="U4" s="119" t="s">
        <v>115</v>
      </c>
      <c r="V4" s="119" t="s">
        <v>275</v>
      </c>
    </row>
    <row r="5" spans="2:22">
      <c r="R5" t="s">
        <v>0</v>
      </c>
      <c r="S5" s="114">
        <f>'Trading Comps'!F47</f>
        <v>113.85106211981423</v>
      </c>
      <c r="T5" s="118">
        <f>'Trading Comps'!G47</f>
        <v>109.46013470087881</v>
      </c>
      <c r="U5" s="114">
        <f>'Trading Comps'!F48</f>
        <v>110.42385164265237</v>
      </c>
      <c r="V5" s="114">
        <f>'Trading Comps'!G48</f>
        <v>100.73201150989728</v>
      </c>
    </row>
    <row r="6" spans="2:22">
      <c r="R6" t="s">
        <v>4</v>
      </c>
      <c r="S6" s="114">
        <f>'Trading Comps'!J47</f>
        <v>81.546107819955807</v>
      </c>
      <c r="T6" s="118">
        <f>'Trading Comps'!K47</f>
        <v>85.664390332743906</v>
      </c>
      <c r="U6" s="114">
        <f>'Trading Comps'!J48</f>
        <v>69.497991208457123</v>
      </c>
      <c r="V6" s="114">
        <f>'Trading Comps'!K48</f>
        <v>74.850580431807501</v>
      </c>
    </row>
    <row r="7" spans="2:22">
      <c r="R7" t="s">
        <v>6</v>
      </c>
      <c r="S7" s="114">
        <f>'Trading Comps'!N47</f>
        <v>78.820010030210312</v>
      </c>
      <c r="T7" s="118">
        <f>'Trading Comps'!O47</f>
        <v>82.533236425094103</v>
      </c>
      <c r="U7" s="114">
        <f>'Trading Comps'!N48</f>
        <v>74.743120836392151</v>
      </c>
      <c r="V7" s="114">
        <f>'Trading Comps'!O48</f>
        <v>80.974646395143594</v>
      </c>
    </row>
    <row r="8" spans="2:22">
      <c r="R8" t="s">
        <v>273</v>
      </c>
      <c r="S8" s="114">
        <f>'Trading Comps'!U47</f>
        <v>87.478187618964341</v>
      </c>
      <c r="T8" s="118">
        <f>'Trading Comps'!V47</f>
        <v>81.101425612163226</v>
      </c>
      <c r="U8" s="114">
        <f>'Trading Comps'!U48</f>
        <v>89.007375886524812</v>
      </c>
      <c r="V8" s="114">
        <f>'Trading Comps'!V48</f>
        <v>71.907102272727272</v>
      </c>
    </row>
    <row r="10" spans="2:22">
      <c r="R10" s="3" t="s">
        <v>261</v>
      </c>
    </row>
    <row r="11" spans="2:22">
      <c r="S11" s="116" t="s">
        <v>274</v>
      </c>
      <c r="T11" s="117"/>
      <c r="U11" s="116" t="s">
        <v>74</v>
      </c>
      <c r="V11" s="116"/>
    </row>
    <row r="12" spans="2:22">
      <c r="R12" s="6"/>
      <c r="S12" s="119" t="s">
        <v>115</v>
      </c>
      <c r="T12" s="120"/>
      <c r="U12" s="119" t="s">
        <v>115</v>
      </c>
      <c r="V12" s="119"/>
    </row>
    <row r="13" spans="2:22">
      <c r="R13" t="s">
        <v>0</v>
      </c>
      <c r="S13" s="114">
        <f>'Deal Comps'!K43</f>
        <v>139.60788450292395</v>
      </c>
      <c r="T13" s="118"/>
      <c r="U13" s="114">
        <f>'Deal Comps'!K44</f>
        <v>129.78313011695906</v>
      </c>
      <c r="V13" s="114"/>
    </row>
    <row r="14" spans="2:22">
      <c r="R14" t="s">
        <v>4</v>
      </c>
      <c r="S14" s="114">
        <f>'Deal Comps'!L43</f>
        <v>113.35459590643275</v>
      </c>
      <c r="T14" s="118"/>
      <c r="U14" s="114">
        <f>'Deal Comps'!L44</f>
        <v>104.8435760233918</v>
      </c>
      <c r="V14" s="114"/>
    </row>
    <row r="15" spans="2:22">
      <c r="R15" t="s">
        <v>6</v>
      </c>
      <c r="S15" s="114">
        <f>'Deal Comps'!M43</f>
        <v>109.88336315789475</v>
      </c>
      <c r="T15" s="118"/>
      <c r="U15" s="114">
        <f>'Deal Comps'!M44</f>
        <v>97.133008771929823</v>
      </c>
      <c r="V15" s="114"/>
    </row>
    <row r="16" spans="2:22">
      <c r="R16" t="s">
        <v>273</v>
      </c>
      <c r="S16" s="114">
        <f>'Deal Comps'!Q43</f>
        <v>122.15873193740839</v>
      </c>
      <c r="T16" s="118"/>
      <c r="U16" s="114">
        <f>'Deal Comps'!Q44</f>
        <v>133.18813014984121</v>
      </c>
      <c r="V16" s="114"/>
    </row>
    <row r="20" spans="5:22">
      <c r="R20" s="1" t="s">
        <v>265</v>
      </c>
      <c r="S20" s="6"/>
      <c r="T20" s="119" t="s">
        <v>259</v>
      </c>
      <c r="U20" s="119" t="s">
        <v>260</v>
      </c>
      <c r="V20" s="6"/>
    </row>
    <row r="21" spans="5:22">
      <c r="R21" t="s">
        <v>262</v>
      </c>
      <c r="S21" s="121">
        <f>T21</f>
        <v>70</v>
      </c>
      <c r="T21" s="126">
        <v>70</v>
      </c>
      <c r="U21" s="126">
        <v>85</v>
      </c>
      <c r="V21" s="121">
        <f>U21</f>
        <v>85</v>
      </c>
    </row>
    <row r="22" spans="5:22">
      <c r="R22" t="s">
        <v>264</v>
      </c>
      <c r="S22" s="121">
        <f t="shared" ref="S22:S26" si="0">T22</f>
        <v>84.347935374652536</v>
      </c>
      <c r="T22" s="114">
        <f>DCF!L74</f>
        <v>84.347935374652536</v>
      </c>
      <c r="U22" s="114">
        <f>DCF!N72</f>
        <v>93.990738991716086</v>
      </c>
      <c r="V22" s="121">
        <f t="shared" ref="V22:V26" si="1">U22</f>
        <v>93.990738991716086</v>
      </c>
    </row>
    <row r="23" spans="5:22">
      <c r="R23" t="s">
        <v>271</v>
      </c>
      <c r="S23" s="121">
        <f t="shared" si="0"/>
        <v>78.820010030210312</v>
      </c>
      <c r="T23" s="114">
        <f>MIN(S5:T8)</f>
        <v>78.820010030210312</v>
      </c>
      <c r="U23" s="114">
        <f>MAX(S5:T8)</f>
        <v>113.85106211981423</v>
      </c>
      <c r="V23" s="121">
        <f t="shared" si="1"/>
        <v>113.85106211981423</v>
      </c>
    </row>
    <row r="24" spans="5:22">
      <c r="R24" t="s">
        <v>269</v>
      </c>
      <c r="S24" s="121">
        <f t="shared" si="0"/>
        <v>69.497991208457123</v>
      </c>
      <c r="T24" s="114">
        <f>MIN(U5:V8)</f>
        <v>69.497991208457123</v>
      </c>
      <c r="U24" s="114">
        <f>MAX(U5:V8)</f>
        <v>110.42385164265237</v>
      </c>
      <c r="V24" s="121">
        <f t="shared" si="1"/>
        <v>110.42385164265237</v>
      </c>
    </row>
    <row r="25" spans="5:22">
      <c r="R25" t="s">
        <v>272</v>
      </c>
      <c r="S25" s="121">
        <f t="shared" si="0"/>
        <v>109.88336315789475</v>
      </c>
      <c r="T25" s="114">
        <f>MIN(S13:S16)</f>
        <v>109.88336315789475</v>
      </c>
      <c r="U25" s="114">
        <f>MAX(S13:S16)</f>
        <v>139.60788450292395</v>
      </c>
      <c r="V25" s="121">
        <f t="shared" si="1"/>
        <v>139.60788450292395</v>
      </c>
    </row>
    <row r="26" spans="5:22">
      <c r="R26" t="s">
        <v>270</v>
      </c>
      <c r="S26" s="121">
        <f t="shared" si="0"/>
        <v>97.133008771929823</v>
      </c>
      <c r="T26" s="114">
        <f>MIN(U13:U16)</f>
        <v>97.133008771929823</v>
      </c>
      <c r="U26" s="114">
        <f>MAX(U13:U16)</f>
        <v>133.18813014984121</v>
      </c>
      <c r="V26" s="121">
        <f t="shared" si="1"/>
        <v>133.18813014984121</v>
      </c>
    </row>
    <row r="27" spans="5:22">
      <c r="T27" s="121"/>
      <c r="U27" s="121"/>
    </row>
    <row r="30" spans="5:22">
      <c r="E30" s="1" t="s">
        <v>277</v>
      </c>
      <c r="F30" s="1"/>
      <c r="G30" s="1"/>
      <c r="H30" s="119" t="s">
        <v>259</v>
      </c>
      <c r="I30" s="119" t="s">
        <v>260</v>
      </c>
    </row>
    <row r="31" spans="5:22">
      <c r="E31" t="s">
        <v>278</v>
      </c>
      <c r="H31" s="126">
        <v>75</v>
      </c>
      <c r="I31" s="126">
        <v>95</v>
      </c>
    </row>
    <row r="32" spans="5:22">
      <c r="E32" t="s">
        <v>281</v>
      </c>
      <c r="H32" s="124">
        <f>H31/'Trading Comps'!$AB$32-1</f>
        <v>0</v>
      </c>
      <c r="I32" s="124">
        <f>I31/'Trading Comps'!$AB$32-1</f>
        <v>0.26666666666666661</v>
      </c>
    </row>
    <row r="33" spans="5:9">
      <c r="E33" t="s">
        <v>279</v>
      </c>
      <c r="H33" s="68">
        <f>H31*'Trading Comps'!$AJ$32</f>
        <v>25650</v>
      </c>
      <c r="I33" s="68">
        <f>I31*'Trading Comps'!$AJ$32</f>
        <v>32490</v>
      </c>
    </row>
    <row r="34" spans="5:9">
      <c r="E34" s="6" t="s">
        <v>280</v>
      </c>
      <c r="F34" s="6"/>
      <c r="G34" s="6"/>
      <c r="H34" s="125">
        <f>H33+'Trading Comps'!$AO$32</f>
        <v>28982</v>
      </c>
      <c r="I34" s="125">
        <f>I33+'Trading Comps'!$AO$32</f>
        <v>35822</v>
      </c>
    </row>
  </sheetData>
  <pageMargins left="0.7" right="0.7" top="0.75" bottom="0.75" header="0.3" footer="0.3"/>
  <pageSetup scale="93" orientation="landscape" verticalDpi="1200" r:id="rId1"/>
  <headerFooter>
    <oddFooter>&amp;L© Atif Ellahie&amp;C&amp;P</oddFooter>
  </headerFooter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15D7-69DC-4E4B-BF28-DD301BA85960}">
  <dimension ref="A1:B23"/>
  <sheetViews>
    <sheetView showGridLines="0" zoomScaleNormal="100" workbookViewId="0">
      <selection activeCell="A12" sqref="A12"/>
    </sheetView>
  </sheetViews>
  <sheetFormatPr baseColWidth="10" defaultColWidth="8.83203125" defaultRowHeight="15"/>
  <cols>
    <col min="1" max="1" width="3.83203125" customWidth="1"/>
  </cols>
  <sheetData>
    <row r="1" spans="1:2">
      <c r="A1" s="3" t="s">
        <v>289</v>
      </c>
      <c r="B1" s="3"/>
    </row>
    <row r="2" spans="1:2">
      <c r="A2" s="127">
        <v>1</v>
      </c>
      <c r="B2" t="s">
        <v>293</v>
      </c>
    </row>
    <row r="3" spans="1:2">
      <c r="A3" s="127">
        <v>2</v>
      </c>
      <c r="B3" t="s">
        <v>292</v>
      </c>
    </row>
    <row r="4" spans="1:2">
      <c r="A4" s="127">
        <v>3</v>
      </c>
      <c r="B4" t="s">
        <v>355</v>
      </c>
    </row>
    <row r="5" spans="1:2">
      <c r="A5" s="127">
        <v>4</v>
      </c>
      <c r="B5" t="s">
        <v>290</v>
      </c>
    </row>
    <row r="6" spans="1:2">
      <c r="A6" s="127"/>
      <c r="B6" t="s">
        <v>298</v>
      </c>
    </row>
    <row r="7" spans="1:2">
      <c r="A7" s="127">
        <v>5</v>
      </c>
      <c r="B7" t="s">
        <v>294</v>
      </c>
    </row>
    <row r="8" spans="1:2">
      <c r="A8" s="127">
        <v>5</v>
      </c>
      <c r="B8" t="s">
        <v>291</v>
      </c>
    </row>
    <row r="9" spans="1:2">
      <c r="A9" s="127">
        <v>6</v>
      </c>
      <c r="B9" t="s">
        <v>295</v>
      </c>
    </row>
    <row r="10" spans="1:2">
      <c r="A10" s="127">
        <v>7</v>
      </c>
      <c r="B10" t="s">
        <v>296</v>
      </c>
    </row>
    <row r="11" spans="1:2">
      <c r="A11" s="127">
        <v>8</v>
      </c>
      <c r="B11" t="s">
        <v>299</v>
      </c>
    </row>
    <row r="12" spans="1:2">
      <c r="A12" s="127"/>
    </row>
    <row r="13" spans="1:2">
      <c r="A13" s="127"/>
    </row>
    <row r="14" spans="1:2">
      <c r="A14" s="127"/>
    </row>
    <row r="15" spans="1:2">
      <c r="A15" s="127"/>
    </row>
    <row r="16" spans="1:2">
      <c r="A16" s="127"/>
    </row>
    <row r="17" spans="1:1">
      <c r="A17" s="127"/>
    </row>
    <row r="18" spans="1:1">
      <c r="A18" s="127"/>
    </row>
    <row r="19" spans="1:1">
      <c r="A19" s="127"/>
    </row>
    <row r="20" spans="1:1">
      <c r="A20" s="127"/>
    </row>
    <row r="21" spans="1:1">
      <c r="A21" s="127"/>
    </row>
    <row r="22" spans="1:1">
      <c r="A22" s="127"/>
    </row>
    <row r="23" spans="1:1">
      <c r="A23" s="127"/>
    </row>
  </sheetData>
  <pageMargins left="0.7" right="0.7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</vt:lpstr>
      <vt:lpstr>Ratios</vt:lpstr>
      <vt:lpstr>DCF</vt:lpstr>
      <vt:lpstr>Trading Comps</vt:lpstr>
      <vt:lpstr>Deal Comps</vt:lpstr>
      <vt:lpstr>Valuation Summary</vt:lpstr>
      <vt:lpstr>README</vt:lpstr>
      <vt:lpstr>Data!Print_Area</vt:lpstr>
      <vt:lpstr>DCF!Print_Area</vt:lpstr>
      <vt:lpstr>'Deal Comps'!Print_Area</vt:lpstr>
      <vt:lpstr>README!Print_Area</vt:lpstr>
      <vt:lpstr>'Trading Comps'!Print_Area</vt:lpstr>
      <vt:lpstr>'Valuation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Agrawal</dc:creator>
  <cp:keywords/>
  <dc:description/>
  <cp:lastModifiedBy>Yash Agrawal</cp:lastModifiedBy>
  <cp:lastPrinted>2025-01-24T20:58:43Z</cp:lastPrinted>
  <dcterms:created xsi:type="dcterms:W3CDTF">2023-02-03T23:31:09Z</dcterms:created>
  <dcterms:modified xsi:type="dcterms:W3CDTF">2025-06-11T04:21:23Z</dcterms:modified>
  <cp:category/>
</cp:coreProperties>
</file>