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aran\OneDrive\Desktop\Report making\gm reports\"/>
    </mc:Choice>
  </mc:AlternateContent>
  <xr:revisionPtr revIDLastSave="0" documentId="13_ncr:1_{7F219663-66E3-4B4B-93AB-1E3D06C08D93}" xr6:coauthVersionLast="47" xr6:coauthVersionMax="47" xr10:uidLastSave="{00000000-0000-0000-0000-000000000000}"/>
  <bookViews>
    <workbookView xWindow="-120" yWindow="-120" windowWidth="29040" windowHeight="15840" tabRatio="916" firstSheet="2" activeTab="16" xr2:uid="{00000000-000D-0000-FFFF-FFFF00000000}"/>
  </bookViews>
  <sheets>
    <sheet name="Raw" sheetId="12" r:id="rId1"/>
    <sheet name="Revenue Segments" sheetId="6" r:id="rId2"/>
    <sheet name="GM-IS" sheetId="13" r:id="rId3"/>
    <sheet name="GM-BS" sheetId="16" r:id="rId4"/>
    <sheet name="GM-CFS" sheetId="18" r:id="rId5"/>
    <sheet name="Debt Shedule" sheetId="20" r:id="rId6"/>
    <sheet name="Fixed Asset Shedule" sheetId="24" r:id="rId7"/>
    <sheet name="Beta" sheetId="15" r:id="rId8"/>
    <sheet name="WACC" sheetId="17" r:id="rId9"/>
    <sheet name="DCF" sheetId="25" r:id="rId10"/>
    <sheet name="General Motors" sheetId="30" r:id="rId11"/>
    <sheet name="Ford Motors" sheetId="31" r:id="rId12"/>
    <sheet name="Li Auto" sheetId="32" r:id="rId13"/>
    <sheet name="Output" sheetId="33" r:id="rId14"/>
    <sheet name="Valuation" sheetId="35" r:id="rId15"/>
    <sheet name="Input for football field" sheetId="27" r:id="rId16"/>
    <sheet name="Football Field" sheetId="28" r:id="rId17"/>
    <sheet name="Sheet2" sheetId="36" r:id="rId18"/>
    <sheet name="Sheet1" sheetId="26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26" l="1"/>
  <c r="F15" i="26"/>
  <c r="E15" i="26"/>
  <c r="D15" i="26"/>
  <c r="D7" i="15"/>
  <c r="D6" i="15"/>
  <c r="D5" i="15"/>
  <c r="R229" i="15"/>
  <c r="R228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M229" i="15"/>
  <c r="M228" i="15"/>
  <c r="D229" i="15"/>
  <c r="D228" i="15"/>
  <c r="D227" i="15"/>
  <c r="D226" i="15"/>
  <c r="D225" i="15"/>
  <c r="D224" i="15"/>
  <c r="D223" i="15"/>
  <c r="D222" i="15"/>
  <c r="D221" i="15"/>
  <c r="D220" i="15"/>
  <c r="D219" i="15"/>
  <c r="D218" i="15"/>
  <c r="D217" i="15"/>
  <c r="D216" i="15"/>
  <c r="D215" i="15"/>
  <c r="D214" i="15"/>
  <c r="D213" i="15"/>
  <c r="D212" i="15"/>
  <c r="D211" i="15"/>
  <c r="D210" i="15"/>
  <c r="D209" i="15"/>
  <c r="D208" i="15"/>
  <c r="D207" i="15"/>
  <c r="D206" i="15"/>
  <c r="D205" i="15"/>
  <c r="D204" i="15"/>
  <c r="D203" i="15"/>
  <c r="D202" i="15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M200" i="15"/>
  <c r="M201" i="15"/>
  <c r="M202" i="15"/>
  <c r="M203" i="15"/>
  <c r="M204" i="15"/>
  <c r="M205" i="15"/>
  <c r="M206" i="15"/>
  <c r="M207" i="15"/>
  <c r="M208" i="15"/>
  <c r="M209" i="15"/>
  <c r="M210" i="15"/>
  <c r="M211" i="15"/>
  <c r="M212" i="15"/>
  <c r="M213" i="15"/>
  <c r="M214" i="15"/>
  <c r="M215" i="15"/>
  <c r="M216" i="15"/>
  <c r="M217" i="15"/>
  <c r="M218" i="15"/>
  <c r="M219" i="15"/>
  <c r="M220" i="15"/>
  <c r="M221" i="15"/>
  <c r="M222" i="15"/>
  <c r="M223" i="15"/>
  <c r="M224" i="15"/>
  <c r="M225" i="15"/>
  <c r="M226" i="15"/>
  <c r="M227" i="15"/>
  <c r="I6" i="27" l="1"/>
  <c r="H6" i="27"/>
  <c r="K43" i="25"/>
  <c r="K44" i="25" s="1"/>
  <c r="K45" i="25" s="1"/>
  <c r="K46" i="25" s="1"/>
  <c r="K47" i="25" s="1"/>
  <c r="K48" i="25" s="1"/>
  <c r="K49" i="25" s="1"/>
  <c r="K50" i="25" s="1"/>
  <c r="K51" i="25" s="1"/>
  <c r="Q18" i="20" l="1"/>
  <c r="R18" i="20"/>
  <c r="S18" i="20"/>
  <c r="T18" i="20"/>
  <c r="P18" i="20"/>
  <c r="J18" i="20"/>
  <c r="K18" i="20"/>
  <c r="L18" i="20"/>
  <c r="M18" i="20"/>
  <c r="N18" i="20"/>
  <c r="I18" i="20"/>
  <c r="J22" i="18"/>
  <c r="K22" i="18"/>
  <c r="L22" i="18"/>
  <c r="M22" i="18"/>
  <c r="I15" i="20"/>
  <c r="J6" i="20"/>
  <c r="J23" i="18" s="1"/>
  <c r="K6" i="20"/>
  <c r="K23" i="18" s="1"/>
  <c r="L6" i="20"/>
  <c r="K9" i="20" s="1"/>
  <c r="J32" i="16" s="1"/>
  <c r="M6" i="20"/>
  <c r="L9" i="20" s="1"/>
  <c r="K32" i="16" s="1"/>
  <c r="I6" i="20"/>
  <c r="I23" i="18" s="1"/>
  <c r="M9" i="20"/>
  <c r="L32" i="16" s="1"/>
  <c r="J30" i="30"/>
  <c r="J9" i="20" l="1"/>
  <c r="I32" i="16" s="1"/>
  <c r="I9" i="20"/>
  <c r="H32" i="16" s="1"/>
  <c r="L23" i="18"/>
  <c r="M23" i="18"/>
  <c r="E10" i="28"/>
  <c r="C10" i="28"/>
  <c r="E9" i="28"/>
  <c r="C9" i="28"/>
  <c r="E8" i="28"/>
  <c r="C8" i="28"/>
  <c r="I7" i="27"/>
  <c r="E4" i="28" s="1"/>
  <c r="H7" i="27"/>
  <c r="C4" i="28" s="1"/>
  <c r="E3" i="28"/>
  <c r="C3" i="28"/>
  <c r="D8" i="28" l="1"/>
  <c r="D10" i="28"/>
  <c r="D9" i="28"/>
  <c r="D4" i="28"/>
  <c r="D3" i="28"/>
  <c r="L40" i="28"/>
  <c r="F23" i="30" l="1"/>
  <c r="H9" i="35" s="1"/>
  <c r="M26" i="25"/>
  <c r="M88" i="17"/>
  <c r="M87" i="17"/>
  <c r="M86" i="17"/>
  <c r="M83" i="17"/>
  <c r="M82" i="17"/>
  <c r="M81" i="17"/>
  <c r="C50" i="17"/>
  <c r="C49" i="17"/>
  <c r="C48" i="17"/>
  <c r="C100" i="17"/>
  <c r="C99" i="17"/>
  <c r="C98" i="17"/>
  <c r="C45" i="17"/>
  <c r="C44" i="17"/>
  <c r="C43" i="17"/>
  <c r="C40" i="17"/>
  <c r="C39" i="17"/>
  <c r="C38" i="17"/>
  <c r="I88" i="17"/>
  <c r="K88" i="17" s="1"/>
  <c r="H88" i="17"/>
  <c r="I87" i="17"/>
  <c r="K87" i="17" s="1"/>
  <c r="H87" i="17"/>
  <c r="I86" i="17"/>
  <c r="K86" i="17" s="1"/>
  <c r="H86" i="17"/>
  <c r="H83" i="17"/>
  <c r="H82" i="17"/>
  <c r="H81" i="17"/>
  <c r="H78" i="17"/>
  <c r="H77" i="17"/>
  <c r="H76" i="17"/>
  <c r="H73" i="17"/>
  <c r="H72" i="17"/>
  <c r="H71" i="17"/>
  <c r="B36" i="35"/>
  <c r="B35" i="35"/>
  <c r="O27" i="35"/>
  <c r="L27" i="35"/>
  <c r="G27" i="35"/>
  <c r="B27" i="35"/>
  <c r="O26" i="35"/>
  <c r="L26" i="35"/>
  <c r="G26" i="35"/>
  <c r="B26" i="35"/>
  <c r="O25" i="35"/>
  <c r="G35" i="35" s="1"/>
  <c r="L25" i="35"/>
  <c r="G25" i="35"/>
  <c r="O18" i="35"/>
  <c r="L18" i="35"/>
  <c r="G18" i="35"/>
  <c r="B18" i="35"/>
  <c r="O17" i="35"/>
  <c r="L17" i="35"/>
  <c r="G17" i="35"/>
  <c r="B17" i="35"/>
  <c r="O16" i="35"/>
  <c r="L16" i="35"/>
  <c r="G16" i="35"/>
  <c r="O9" i="35"/>
  <c r="L9" i="35"/>
  <c r="G9" i="35"/>
  <c r="B9" i="35"/>
  <c r="O8" i="35"/>
  <c r="L8" i="35"/>
  <c r="G8" i="35"/>
  <c r="B8" i="35"/>
  <c r="O7" i="35"/>
  <c r="L7" i="35"/>
  <c r="G7" i="35"/>
  <c r="H2" i="35"/>
  <c r="H8" i="35" l="1"/>
  <c r="H7" i="35"/>
  <c r="H16" i="35"/>
  <c r="H25" i="35"/>
  <c r="H27" i="35"/>
  <c r="H17" i="35"/>
  <c r="H26" i="35"/>
  <c r="H18" i="35"/>
  <c r="G34" i="35"/>
  <c r="G36" i="35"/>
  <c r="H24" i="30" l="1"/>
  <c r="D50" i="17"/>
  <c r="D49" i="17"/>
  <c r="D48" i="17"/>
  <c r="D100" i="17"/>
  <c r="F100" i="17" s="1"/>
  <c r="D99" i="17"/>
  <c r="F99" i="17" s="1"/>
  <c r="D98" i="17"/>
  <c r="F98" i="17" s="1"/>
  <c r="D45" i="17"/>
  <c r="F45" i="17" s="1"/>
  <c r="D44" i="17"/>
  <c r="F44" i="17" s="1"/>
  <c r="D43" i="17"/>
  <c r="F43" i="17" s="1"/>
  <c r="D40" i="17"/>
  <c r="F40" i="17" s="1"/>
  <c r="D39" i="17"/>
  <c r="F39" i="17" s="1"/>
  <c r="D38" i="17"/>
  <c r="F38" i="17" s="1"/>
  <c r="C88" i="17"/>
  <c r="C87" i="17"/>
  <c r="C86" i="17"/>
  <c r="C78" i="17"/>
  <c r="C77" i="17"/>
  <c r="C76" i="17"/>
  <c r="C83" i="17"/>
  <c r="C82" i="17"/>
  <c r="C81" i="17"/>
  <c r="C71" i="17"/>
  <c r="C72" i="17"/>
  <c r="C73" i="17"/>
  <c r="F86" i="17" l="1"/>
  <c r="F48" i="17"/>
  <c r="F72" i="17"/>
  <c r="F78" i="17"/>
  <c r="F87" i="17"/>
  <c r="F49" i="17"/>
  <c r="F73" i="17"/>
  <c r="F81" i="17"/>
  <c r="F88" i="17"/>
  <c r="F50" i="17"/>
  <c r="F76" i="17"/>
  <c r="F82" i="17"/>
  <c r="F71" i="17"/>
  <c r="F77" i="17"/>
  <c r="F83" i="17"/>
  <c r="M74" i="32"/>
  <c r="L74" i="32"/>
  <c r="H74" i="32"/>
  <c r="K67" i="32"/>
  <c r="M65" i="32"/>
  <c r="L65" i="32"/>
  <c r="M63" i="32"/>
  <c r="L63" i="32"/>
  <c r="H63" i="32"/>
  <c r="K63" i="32" s="1"/>
  <c r="G63" i="32"/>
  <c r="G64" i="32" s="1"/>
  <c r="K61" i="32"/>
  <c r="G61" i="32"/>
  <c r="G62" i="32" s="1"/>
  <c r="K59" i="32"/>
  <c r="H58" i="32"/>
  <c r="I42" i="32"/>
  <c r="E41" i="32"/>
  <c r="F41" i="32" s="1"/>
  <c r="G41" i="32" s="1"/>
  <c r="F33" i="32"/>
  <c r="J30" i="32"/>
  <c r="F28" i="32" s="1"/>
  <c r="F23" i="32"/>
  <c r="F20" i="32"/>
  <c r="F19" i="32"/>
  <c r="F9" i="32"/>
  <c r="A2" i="32"/>
  <c r="H74" i="31"/>
  <c r="K74" i="31" s="1"/>
  <c r="N74" i="31" s="1"/>
  <c r="V15" i="33" s="1"/>
  <c r="K67" i="31"/>
  <c r="H65" i="31"/>
  <c r="K65" i="31" s="1"/>
  <c r="N65" i="31" s="1"/>
  <c r="K63" i="31"/>
  <c r="N63" i="31" s="1"/>
  <c r="H62" i="31"/>
  <c r="K61" i="31"/>
  <c r="K59" i="31"/>
  <c r="N59" i="31" s="1"/>
  <c r="I45" i="31"/>
  <c r="C17" i="31" s="1"/>
  <c r="C18" i="31" s="1"/>
  <c r="F18" i="31" s="1"/>
  <c r="E15" i="33" s="1"/>
  <c r="E41" i="31"/>
  <c r="F41" i="31" s="1"/>
  <c r="F33" i="31"/>
  <c r="D15" i="33" s="1"/>
  <c r="I31" i="31"/>
  <c r="F28" i="31" s="1"/>
  <c r="F29" i="31"/>
  <c r="I25" i="31"/>
  <c r="E24" i="31"/>
  <c r="F23" i="31"/>
  <c r="F20" i="31"/>
  <c r="D16" i="31"/>
  <c r="D18" i="31" s="1"/>
  <c r="F9" i="31"/>
  <c r="A2" i="31"/>
  <c r="H80" i="30"/>
  <c r="H69" i="30" s="1"/>
  <c r="K67" i="30"/>
  <c r="K61" i="30"/>
  <c r="K59" i="30"/>
  <c r="E41" i="30"/>
  <c r="F33" i="30"/>
  <c r="F28" i="30"/>
  <c r="F29" i="30"/>
  <c r="F27" i="30"/>
  <c r="F20" i="30"/>
  <c r="F9" i="30"/>
  <c r="A2" i="30"/>
  <c r="H65" i="32" l="1"/>
  <c r="K65" i="32" s="1"/>
  <c r="O15" i="33"/>
  <c r="T15" i="33"/>
  <c r="J15" i="33"/>
  <c r="N59" i="30"/>
  <c r="B25" i="35"/>
  <c r="E40" i="30"/>
  <c r="F40" i="30" s="1"/>
  <c r="G40" i="30" s="1"/>
  <c r="H40" i="30" s="1"/>
  <c r="I40" i="30" s="1"/>
  <c r="I45" i="30" s="1"/>
  <c r="E40" i="32"/>
  <c r="F40" i="32" s="1"/>
  <c r="G40" i="32" s="1"/>
  <c r="H40" i="32" s="1"/>
  <c r="I40" i="32" s="1"/>
  <c r="I45" i="32" s="1"/>
  <c r="C17" i="32" s="1"/>
  <c r="C18" i="32" s="1"/>
  <c r="D16" i="33"/>
  <c r="K26" i="35"/>
  <c r="K16" i="35"/>
  <c r="K9" i="35"/>
  <c r="K18" i="35"/>
  <c r="K7" i="35"/>
  <c r="K25" i="35"/>
  <c r="K8" i="35"/>
  <c r="K27" i="35"/>
  <c r="K17" i="35"/>
  <c r="I25" i="35"/>
  <c r="I7" i="35"/>
  <c r="I9" i="35"/>
  <c r="I26" i="35"/>
  <c r="I16" i="35"/>
  <c r="I18" i="35"/>
  <c r="I27" i="35"/>
  <c r="I17" i="35"/>
  <c r="I8" i="35"/>
  <c r="N59" i="32"/>
  <c r="N63" i="32"/>
  <c r="N65" i="32"/>
  <c r="K74" i="32"/>
  <c r="N74" i="32" s="1"/>
  <c r="V16" i="33" s="1"/>
  <c r="V18" i="33" s="1"/>
  <c r="E42" i="32"/>
  <c r="F42" i="32" s="1"/>
  <c r="G42" i="32" s="1"/>
  <c r="F30" i="31"/>
  <c r="F32" i="31" s="1"/>
  <c r="F15" i="33" s="1"/>
  <c r="H76" i="31"/>
  <c r="H77" i="31" s="1"/>
  <c r="K77" i="31" s="1"/>
  <c r="V19" i="33" l="1"/>
  <c r="V21" i="33"/>
  <c r="V20" i="33"/>
  <c r="I15" i="33"/>
  <c r="R15" i="33"/>
  <c r="S15" i="33"/>
  <c r="Q15" i="33"/>
  <c r="L15" i="33"/>
  <c r="N15" i="33"/>
  <c r="M15" i="33"/>
  <c r="G15" i="33"/>
  <c r="H15" i="33"/>
  <c r="F18" i="32"/>
  <c r="H76" i="32"/>
  <c r="M77" i="31"/>
  <c r="L77" i="31"/>
  <c r="C18" i="30"/>
  <c r="F18" i="30" s="1"/>
  <c r="H76" i="30"/>
  <c r="F30" i="30" l="1"/>
  <c r="F32" i="30" s="1"/>
  <c r="F30" i="32"/>
  <c r="F32" i="32" s="1"/>
  <c r="F16" i="33" s="1"/>
  <c r="E16" i="33"/>
  <c r="H77" i="32"/>
  <c r="K77" i="32" s="1"/>
  <c r="M77" i="32"/>
  <c r="L77" i="32"/>
  <c r="M77" i="30"/>
  <c r="L77" i="30"/>
  <c r="J16" i="33" l="1"/>
  <c r="O16" i="33"/>
  <c r="H16" i="33"/>
  <c r="S16" i="33"/>
  <c r="R16" i="33"/>
  <c r="L16" i="33"/>
  <c r="Q16" i="33"/>
  <c r="N16" i="33"/>
  <c r="M16" i="33"/>
  <c r="I16" i="33"/>
  <c r="G16" i="33"/>
  <c r="O18" i="33" l="1"/>
  <c r="O21" i="33"/>
  <c r="O20" i="33"/>
  <c r="O19" i="33"/>
  <c r="T16" i="33"/>
  <c r="J18" i="33"/>
  <c r="J21" i="33"/>
  <c r="J20" i="33"/>
  <c r="J19" i="33"/>
  <c r="G33" i="16"/>
  <c r="G6" i="16"/>
  <c r="Q19" i="33" l="1"/>
  <c r="Q18" i="33"/>
  <c r="Q20" i="33"/>
  <c r="Q21" i="33"/>
  <c r="D27" i="35" s="1"/>
  <c r="F27" i="35" s="1"/>
  <c r="N27" i="35" s="1"/>
  <c r="Q27" i="35" s="1"/>
  <c r="R19" i="33"/>
  <c r="R21" i="33"/>
  <c r="R20" i="33"/>
  <c r="R18" i="33"/>
  <c r="S19" i="33"/>
  <c r="S18" i="33"/>
  <c r="S20" i="33"/>
  <c r="S21" i="33"/>
  <c r="C18" i="35" s="1"/>
  <c r="E18" i="35" s="1"/>
  <c r="M18" i="35" s="1"/>
  <c r="P18" i="35" s="1"/>
  <c r="I19" i="33"/>
  <c r="I20" i="33"/>
  <c r="I21" i="33"/>
  <c r="C16" i="35" s="1"/>
  <c r="I18" i="33"/>
  <c r="M18" i="33"/>
  <c r="M20" i="33"/>
  <c r="M19" i="33"/>
  <c r="M21" i="33"/>
  <c r="C8" i="35" s="1"/>
  <c r="E8" i="35" s="1"/>
  <c r="M8" i="35" s="1"/>
  <c r="P8" i="35" s="1"/>
  <c r="N18" i="33"/>
  <c r="N21" i="33"/>
  <c r="N19" i="33"/>
  <c r="N20" i="33"/>
  <c r="G19" i="33"/>
  <c r="G20" i="33"/>
  <c r="G18" i="33"/>
  <c r="G21" i="33"/>
  <c r="L21" i="33"/>
  <c r="L18" i="33"/>
  <c r="L19" i="33"/>
  <c r="L20" i="33"/>
  <c r="H20" i="33"/>
  <c r="H21" i="33"/>
  <c r="H19" i="33"/>
  <c r="H18" i="33"/>
  <c r="C34" i="35"/>
  <c r="D34" i="35"/>
  <c r="C35" i="35"/>
  <c r="E35" i="35" s="1"/>
  <c r="H35" i="35" s="1"/>
  <c r="D35" i="35"/>
  <c r="F35" i="35" s="1"/>
  <c r="I35" i="35" s="1"/>
  <c r="T21" i="33"/>
  <c r="T18" i="33"/>
  <c r="T20" i="33"/>
  <c r="T19" i="33"/>
  <c r="D25" i="35" l="1"/>
  <c r="F25" i="35" s="1"/>
  <c r="N25" i="35" s="1"/>
  <c r="Q25" i="35" s="1"/>
  <c r="C7" i="35"/>
  <c r="D7" i="35"/>
  <c r="D16" i="35"/>
  <c r="C25" i="35"/>
  <c r="E25" i="35" s="1"/>
  <c r="M25" i="35" s="1"/>
  <c r="P25" i="35" s="1"/>
  <c r="C27" i="35"/>
  <c r="E27" i="35" s="1"/>
  <c r="M27" i="35" s="1"/>
  <c r="P27" i="35" s="1"/>
  <c r="D18" i="35"/>
  <c r="F18" i="35" s="1"/>
  <c r="N18" i="35" s="1"/>
  <c r="Q18" i="35" s="1"/>
  <c r="C17" i="35"/>
  <c r="E17" i="35" s="1"/>
  <c r="M17" i="35" s="1"/>
  <c r="P17" i="35" s="1"/>
  <c r="D17" i="35"/>
  <c r="F17" i="35" s="1"/>
  <c r="N17" i="35" s="1"/>
  <c r="Q17" i="35" s="1"/>
  <c r="C9" i="35"/>
  <c r="E9" i="35" s="1"/>
  <c r="M9" i="35" s="1"/>
  <c r="P9" i="35" s="1"/>
  <c r="D9" i="35"/>
  <c r="F9" i="35" s="1"/>
  <c r="N9" i="35" s="1"/>
  <c r="Q9" i="35" s="1"/>
  <c r="D8" i="35"/>
  <c r="F8" i="35" s="1"/>
  <c r="N8" i="35" s="1"/>
  <c r="Q8" i="35" s="1"/>
  <c r="D26" i="35"/>
  <c r="F26" i="35" s="1"/>
  <c r="N26" i="35" s="1"/>
  <c r="Q26" i="35" s="1"/>
  <c r="Q29" i="35" s="1"/>
  <c r="I13" i="27" s="1"/>
  <c r="E5" i="28" s="1"/>
  <c r="C26" i="35"/>
  <c r="E26" i="35" s="1"/>
  <c r="M26" i="35" s="1"/>
  <c r="P26" i="35" s="1"/>
  <c r="C36" i="35"/>
  <c r="E36" i="35" s="1"/>
  <c r="H36" i="35" s="1"/>
  <c r="D36" i="35"/>
  <c r="F36" i="35" s="1"/>
  <c r="I36" i="35" s="1"/>
  <c r="D36" i="25"/>
  <c r="D52" i="25" s="1"/>
  <c r="E48" i="16"/>
  <c r="F48" i="16"/>
  <c r="C10" i="25"/>
  <c r="C9" i="25"/>
  <c r="L41" i="25"/>
  <c r="K28" i="25"/>
  <c r="K29" i="25" s="1"/>
  <c r="K30" i="25" s="1"/>
  <c r="K31" i="25" s="1"/>
  <c r="K32" i="25" s="1"/>
  <c r="K33" i="25" s="1"/>
  <c r="K34" i="25" s="1"/>
  <c r="K35" i="25" s="1"/>
  <c r="M41" i="25"/>
  <c r="H10" i="25"/>
  <c r="D27" i="25" s="1"/>
  <c r="G10" i="25"/>
  <c r="F10" i="25"/>
  <c r="E10" i="25"/>
  <c r="G30" i="24"/>
  <c r="F30" i="24"/>
  <c r="E30" i="24"/>
  <c r="D30" i="24"/>
  <c r="C30" i="24"/>
  <c r="B30" i="24"/>
  <c r="H6" i="17"/>
  <c r="H8" i="17" s="1"/>
  <c r="M6" i="17" s="1"/>
  <c r="H15" i="20"/>
  <c r="D10" i="25" l="1"/>
  <c r="D43" i="25"/>
  <c r="P29" i="35"/>
  <c r="H13" i="27" s="1"/>
  <c r="C5" i="28" s="1"/>
  <c r="N26" i="25"/>
  <c r="O26" i="25" l="1"/>
  <c r="N41" i="25"/>
  <c r="O41" i="25" l="1"/>
  <c r="P26" i="25"/>
  <c r="Q26" i="25" l="1"/>
  <c r="P41" i="25"/>
  <c r="R26" i="25" l="1"/>
  <c r="Q41" i="25"/>
  <c r="S26" i="25" l="1"/>
  <c r="R41" i="25"/>
  <c r="T26" i="25" l="1"/>
  <c r="T41" i="25" s="1"/>
  <c r="S41" i="25"/>
  <c r="A75" i="16" l="1"/>
  <c r="H27" i="13" l="1"/>
  <c r="I27" i="13" s="1"/>
  <c r="J27" i="13" s="1"/>
  <c r="K27" i="13" s="1"/>
  <c r="L27" i="13" s="1"/>
  <c r="G98" i="13"/>
  <c r="F98" i="13"/>
  <c r="E98" i="13"/>
  <c r="D98" i="13"/>
  <c r="C98" i="13"/>
  <c r="B98" i="13"/>
  <c r="G73" i="13"/>
  <c r="F73" i="13"/>
  <c r="E73" i="13"/>
  <c r="D73" i="13"/>
  <c r="C73" i="13"/>
  <c r="B73" i="13"/>
  <c r="G72" i="13"/>
  <c r="F72" i="13"/>
  <c r="E72" i="13"/>
  <c r="D72" i="13"/>
  <c r="C72" i="13"/>
  <c r="B72" i="13"/>
  <c r="G70" i="13"/>
  <c r="F70" i="13"/>
  <c r="E70" i="13"/>
  <c r="D70" i="13"/>
  <c r="C70" i="13"/>
  <c r="B70" i="13"/>
  <c r="G49" i="13"/>
  <c r="G51" i="13" s="1"/>
  <c r="F49" i="13"/>
  <c r="F51" i="13" s="1"/>
  <c r="E49" i="13"/>
  <c r="E51" i="13" s="1"/>
  <c r="D49" i="13"/>
  <c r="D51" i="13" s="1"/>
  <c r="C49" i="13"/>
  <c r="C51" i="13" s="1"/>
  <c r="B49" i="13"/>
  <c r="B51" i="13" s="1"/>
  <c r="H38" i="12" l="1"/>
  <c r="G9" i="13" s="1"/>
  <c r="G38" i="12"/>
  <c r="F9" i="13" s="1"/>
  <c r="F38" i="12"/>
  <c r="E9" i="13" s="1"/>
  <c r="E38" i="12"/>
  <c r="D9" i="13" s="1"/>
  <c r="D38" i="12"/>
  <c r="C9" i="13" s="1"/>
  <c r="C38" i="12"/>
  <c r="B9" i="13" s="1"/>
  <c r="C12" i="6"/>
  <c r="C41" i="12" l="1"/>
  <c r="D41" i="12"/>
  <c r="E41" i="12"/>
  <c r="F41" i="12"/>
  <c r="H41" i="12"/>
  <c r="G41" i="12"/>
  <c r="G21" i="13"/>
  <c r="F21" i="13"/>
  <c r="E21" i="13"/>
  <c r="D21" i="13"/>
  <c r="C21" i="13"/>
  <c r="B21" i="13"/>
  <c r="H84" i="12"/>
  <c r="G84" i="12"/>
  <c r="F84" i="12"/>
  <c r="E84" i="12"/>
  <c r="D84" i="12"/>
  <c r="C84" i="12"/>
  <c r="H82" i="12"/>
  <c r="G82" i="12"/>
  <c r="F82" i="12"/>
  <c r="E82" i="12"/>
  <c r="D82" i="12"/>
  <c r="C82" i="12"/>
  <c r="E22" i="13" l="1"/>
  <c r="E19" i="24"/>
  <c r="C83" i="12"/>
  <c r="B12" i="13" s="1"/>
  <c r="B19" i="24"/>
  <c r="D22" i="13"/>
  <c r="D19" i="24"/>
  <c r="G83" i="12"/>
  <c r="F18" i="24" s="1"/>
  <c r="F19" i="24"/>
  <c r="C22" i="13"/>
  <c r="C19" i="24"/>
  <c r="H83" i="12"/>
  <c r="G18" i="24" s="1"/>
  <c r="G20" i="24" s="1"/>
  <c r="G19" i="24"/>
  <c r="B22" i="13"/>
  <c r="C85" i="12"/>
  <c r="H86" i="12"/>
  <c r="G12" i="13"/>
  <c r="D85" i="12"/>
  <c r="E85" i="12"/>
  <c r="D83" i="12"/>
  <c r="C18" i="24" s="1"/>
  <c r="G85" i="12"/>
  <c r="H85" i="12"/>
  <c r="E83" i="12"/>
  <c r="D18" i="24" s="1"/>
  <c r="F83" i="12"/>
  <c r="E18" i="24" s="1"/>
  <c r="F22" i="13"/>
  <c r="F85" i="12"/>
  <c r="G22" i="13"/>
  <c r="C86" i="12"/>
  <c r="F20" i="24" l="1"/>
  <c r="F21" i="24" s="1"/>
  <c r="B32" i="13"/>
  <c r="G86" i="12"/>
  <c r="G21" i="24"/>
  <c r="B18" i="24"/>
  <c r="B20" i="24" s="1"/>
  <c r="B21" i="24" s="1"/>
  <c r="F12" i="13"/>
  <c r="F32" i="13" s="1"/>
  <c r="F9" i="24"/>
  <c r="F22" i="24"/>
  <c r="G22" i="24"/>
  <c r="G9" i="24"/>
  <c r="E20" i="24"/>
  <c r="E21" i="24" s="1"/>
  <c r="H21" i="24" s="1"/>
  <c r="D20" i="24"/>
  <c r="D21" i="24" s="1"/>
  <c r="C20" i="24"/>
  <c r="C21" i="24" s="1"/>
  <c r="F86" i="12"/>
  <c r="E12" i="13"/>
  <c r="E32" i="13" s="1"/>
  <c r="C12" i="13"/>
  <c r="C32" i="13" s="1"/>
  <c r="D86" i="12"/>
  <c r="D12" i="13"/>
  <c r="D32" i="13" s="1"/>
  <c r="E86" i="12"/>
  <c r="G32" i="13"/>
  <c r="B9" i="24" l="1"/>
  <c r="B22" i="24"/>
  <c r="E9" i="24"/>
  <c r="E22" i="24"/>
  <c r="H22" i="24" s="1"/>
  <c r="D22" i="24"/>
  <c r="D9" i="24"/>
  <c r="C9" i="24"/>
  <c r="C22" i="24"/>
  <c r="D24" i="17"/>
  <c r="D16" i="17"/>
  <c r="D15" i="17"/>
  <c r="D3" i="17"/>
  <c r="F16" i="17" l="1"/>
  <c r="E16" i="17" s="1"/>
  <c r="F24" i="17"/>
  <c r="G24" i="17" s="1"/>
  <c r="K7" i="17" s="1"/>
  <c r="F15" i="17"/>
  <c r="G15" i="17" s="1"/>
  <c r="H16" i="17" l="1"/>
  <c r="G16" i="17"/>
  <c r="E15" i="17"/>
  <c r="H15" i="17"/>
  <c r="E24" i="17"/>
  <c r="K6" i="17" s="1"/>
  <c r="N6" i="17" s="1"/>
  <c r="H24" i="17"/>
  <c r="R227" i="15" l="1"/>
  <c r="R226" i="15"/>
  <c r="R225" i="15"/>
  <c r="R224" i="15"/>
  <c r="R223" i="15"/>
  <c r="R222" i="15"/>
  <c r="R221" i="15"/>
  <c r="R220" i="15"/>
  <c r="R219" i="15"/>
  <c r="R218" i="15"/>
  <c r="R217" i="15"/>
  <c r="R216" i="15"/>
  <c r="R215" i="15"/>
  <c r="R214" i="15"/>
  <c r="R213" i="15"/>
  <c r="R212" i="15"/>
  <c r="R211" i="15"/>
  <c r="R210" i="15"/>
  <c r="R209" i="15"/>
  <c r="R208" i="15"/>
  <c r="R207" i="15"/>
  <c r="R206" i="15"/>
  <c r="R205" i="15"/>
  <c r="R204" i="15"/>
  <c r="R203" i="15"/>
  <c r="R202" i="15"/>
  <c r="R201" i="15"/>
  <c r="R200" i="15"/>
  <c r="R199" i="15"/>
  <c r="R198" i="15"/>
  <c r="R197" i="15"/>
  <c r="R196" i="15"/>
  <c r="R195" i="15"/>
  <c r="R194" i="15"/>
  <c r="R193" i="15"/>
  <c r="R192" i="15"/>
  <c r="R191" i="15"/>
  <c r="R190" i="15"/>
  <c r="R189" i="15"/>
  <c r="R188" i="15"/>
  <c r="R187" i="15"/>
  <c r="R186" i="15"/>
  <c r="R185" i="15"/>
  <c r="R184" i="15"/>
  <c r="R183" i="15"/>
  <c r="R182" i="15"/>
  <c r="I73" i="17"/>
  <c r="K73" i="17" s="1"/>
  <c r="R181" i="15"/>
  <c r="R180" i="15"/>
  <c r="R179" i="15"/>
  <c r="R178" i="15"/>
  <c r="R177" i="15"/>
  <c r="R176" i="15"/>
  <c r="R175" i="15"/>
  <c r="R174" i="15"/>
  <c r="R173" i="15"/>
  <c r="R172" i="15"/>
  <c r="R171" i="15"/>
  <c r="R170" i="15"/>
  <c r="R169" i="15"/>
  <c r="R168" i="15"/>
  <c r="R167" i="15"/>
  <c r="R166" i="15"/>
  <c r="R165" i="15"/>
  <c r="R164" i="15"/>
  <c r="R163" i="15"/>
  <c r="R162" i="15"/>
  <c r="R161" i="15"/>
  <c r="R160" i="15"/>
  <c r="R159" i="15"/>
  <c r="R158" i="15"/>
  <c r="R157" i="15"/>
  <c r="R156" i="15"/>
  <c r="R155" i="15"/>
  <c r="R154" i="15"/>
  <c r="R153" i="15"/>
  <c r="R152" i="15"/>
  <c r="R151" i="15"/>
  <c r="R150" i="15"/>
  <c r="R149" i="15"/>
  <c r="R148" i="15"/>
  <c r="R147" i="15"/>
  <c r="R146" i="15"/>
  <c r="R145" i="15"/>
  <c r="R144" i="15"/>
  <c r="R143" i="15"/>
  <c r="R142" i="15"/>
  <c r="R141" i="15"/>
  <c r="R140" i="15"/>
  <c r="R139" i="15"/>
  <c r="R138" i="15"/>
  <c r="R137" i="15"/>
  <c r="R136" i="15"/>
  <c r="R135" i="15"/>
  <c r="R134" i="15"/>
  <c r="R133" i="15"/>
  <c r="R132" i="15"/>
  <c r="R131" i="15"/>
  <c r="R130" i="15"/>
  <c r="I72" i="17"/>
  <c r="K72" i="17" s="1"/>
  <c r="R129" i="15"/>
  <c r="R128" i="15"/>
  <c r="R127" i="15"/>
  <c r="R126" i="15"/>
  <c r="R125" i="15"/>
  <c r="R124" i="15"/>
  <c r="R123" i="15"/>
  <c r="R122" i="15"/>
  <c r="R121" i="15"/>
  <c r="R120" i="15"/>
  <c r="R119" i="15"/>
  <c r="R118" i="15"/>
  <c r="R117" i="15"/>
  <c r="R116" i="15"/>
  <c r="R115" i="15"/>
  <c r="R114" i="15"/>
  <c r="R113" i="15"/>
  <c r="R112" i="15"/>
  <c r="R111" i="15"/>
  <c r="R110" i="15"/>
  <c r="R109" i="15"/>
  <c r="R108" i="15"/>
  <c r="R107" i="15"/>
  <c r="R106" i="15"/>
  <c r="R105" i="15"/>
  <c r="R104" i="15"/>
  <c r="R103" i="15"/>
  <c r="R102" i="15"/>
  <c r="R101" i="15"/>
  <c r="R100" i="15"/>
  <c r="R99" i="15"/>
  <c r="R98" i="15"/>
  <c r="R97" i="15"/>
  <c r="R96" i="15"/>
  <c r="R95" i="15"/>
  <c r="R94" i="15"/>
  <c r="R93" i="15"/>
  <c r="R92" i="15"/>
  <c r="R91" i="15"/>
  <c r="R90" i="15"/>
  <c r="R89" i="15"/>
  <c r="R88" i="15"/>
  <c r="R87" i="15"/>
  <c r="R86" i="15"/>
  <c r="R85" i="15"/>
  <c r="R84" i="15"/>
  <c r="R83" i="15"/>
  <c r="R82" i="15"/>
  <c r="R81" i="15"/>
  <c r="R80" i="15"/>
  <c r="R79" i="15"/>
  <c r="R78" i="15"/>
  <c r="I71" i="17"/>
  <c r="K71" i="17" s="1"/>
  <c r="R77" i="15"/>
  <c r="R76" i="15"/>
  <c r="R75" i="15"/>
  <c r="R74" i="15"/>
  <c r="R73" i="15"/>
  <c r="R72" i="15"/>
  <c r="R71" i="15"/>
  <c r="R70" i="15"/>
  <c r="R69" i="15"/>
  <c r="R68" i="15"/>
  <c r="R67" i="15"/>
  <c r="R66" i="15"/>
  <c r="R65" i="15"/>
  <c r="R64" i="15"/>
  <c r="R63" i="15"/>
  <c r="R62" i="15"/>
  <c r="R61" i="15"/>
  <c r="R60" i="15"/>
  <c r="R59" i="15"/>
  <c r="R58" i="15"/>
  <c r="R57" i="15"/>
  <c r="R56" i="15"/>
  <c r="R55" i="15"/>
  <c r="R54" i="15"/>
  <c r="R53" i="15"/>
  <c r="R52" i="15"/>
  <c r="R51" i="15"/>
  <c r="R50" i="15"/>
  <c r="R49" i="15"/>
  <c r="R48" i="15"/>
  <c r="R47" i="15"/>
  <c r="R46" i="15"/>
  <c r="R45" i="15"/>
  <c r="R44" i="15"/>
  <c r="R43" i="15"/>
  <c r="R42" i="15"/>
  <c r="R41" i="15"/>
  <c r="R40" i="15"/>
  <c r="R39" i="15"/>
  <c r="R38" i="15"/>
  <c r="R37" i="15"/>
  <c r="R36" i="15"/>
  <c r="R35" i="15"/>
  <c r="R34" i="15"/>
  <c r="R33" i="15"/>
  <c r="R32" i="15"/>
  <c r="R31" i="15"/>
  <c r="R30" i="15"/>
  <c r="R29" i="15"/>
  <c r="R28" i="15"/>
  <c r="R27" i="15"/>
  <c r="R26" i="15"/>
  <c r="R25" i="15"/>
  <c r="R24" i="15"/>
  <c r="R23" i="15"/>
  <c r="R22" i="15"/>
  <c r="R21" i="15"/>
  <c r="G56" i="16"/>
  <c r="D34" i="25" s="1"/>
  <c r="D50" i="25" s="1"/>
  <c r="F56" i="16"/>
  <c r="E56" i="16"/>
  <c r="D56" i="16"/>
  <c r="C56" i="16"/>
  <c r="B56" i="16"/>
  <c r="G54" i="16"/>
  <c r="H54" i="16" s="1"/>
  <c r="I54" i="16" s="1"/>
  <c r="J54" i="16" s="1"/>
  <c r="K54" i="16" s="1"/>
  <c r="L54" i="16" s="1"/>
  <c r="F54" i="16"/>
  <c r="E54" i="16"/>
  <c r="D54" i="16"/>
  <c r="C54" i="16"/>
  <c r="B54" i="16"/>
  <c r="G53" i="16"/>
  <c r="F53" i="16"/>
  <c r="E53" i="16"/>
  <c r="D53" i="16"/>
  <c r="C53" i="16"/>
  <c r="B53" i="16"/>
  <c r="G52" i="16"/>
  <c r="F52" i="16"/>
  <c r="E52" i="16"/>
  <c r="D52" i="16"/>
  <c r="C52" i="16"/>
  <c r="B52" i="16"/>
  <c r="G51" i="16"/>
  <c r="F51" i="16"/>
  <c r="E51" i="16"/>
  <c r="D51" i="16"/>
  <c r="C51" i="16"/>
  <c r="B51" i="16"/>
  <c r="G48" i="16"/>
  <c r="D48" i="16"/>
  <c r="C48" i="16"/>
  <c r="B48" i="16"/>
  <c r="G47" i="16"/>
  <c r="F47" i="16"/>
  <c r="E47" i="16"/>
  <c r="D47" i="16"/>
  <c r="C47" i="16"/>
  <c r="B47" i="16"/>
  <c r="G42" i="16"/>
  <c r="H42" i="16" s="1"/>
  <c r="F42" i="16"/>
  <c r="E42" i="16"/>
  <c r="D42" i="16"/>
  <c r="C42" i="16"/>
  <c r="B42" i="16"/>
  <c r="G41" i="16"/>
  <c r="H41" i="16" s="1"/>
  <c r="I41" i="16" s="1"/>
  <c r="J41" i="16" s="1"/>
  <c r="K41" i="16" s="1"/>
  <c r="L41" i="16" s="1"/>
  <c r="F41" i="16"/>
  <c r="E41" i="16"/>
  <c r="D41" i="16"/>
  <c r="C41" i="16"/>
  <c r="B41" i="16"/>
  <c r="G40" i="16"/>
  <c r="H40" i="16" s="1"/>
  <c r="I40" i="16" s="1"/>
  <c r="J40" i="16" s="1"/>
  <c r="K40" i="16" s="1"/>
  <c r="L40" i="16" s="1"/>
  <c r="F40" i="16"/>
  <c r="E40" i="16"/>
  <c r="D40" i="16"/>
  <c r="C40" i="16"/>
  <c r="B40" i="16"/>
  <c r="G38" i="16"/>
  <c r="F38" i="16"/>
  <c r="E38" i="16"/>
  <c r="D38" i="16"/>
  <c r="C38" i="16"/>
  <c r="B38" i="16"/>
  <c r="G37" i="16"/>
  <c r="G39" i="16" s="1"/>
  <c r="F37" i="16"/>
  <c r="F39" i="16" s="1"/>
  <c r="F43" i="16" s="1"/>
  <c r="E37" i="16"/>
  <c r="E39" i="16" s="1"/>
  <c r="E43" i="16" s="1"/>
  <c r="D37" i="16"/>
  <c r="D39" i="16" s="1"/>
  <c r="C37" i="16"/>
  <c r="B37" i="16"/>
  <c r="H33" i="16"/>
  <c r="I33" i="16" s="1"/>
  <c r="J33" i="16" s="1"/>
  <c r="K33" i="16" s="1"/>
  <c r="L33" i="16" s="1"/>
  <c r="F33" i="16"/>
  <c r="E33" i="16"/>
  <c r="D33" i="16"/>
  <c r="C33" i="16"/>
  <c r="B33" i="16"/>
  <c r="G32" i="16"/>
  <c r="F32" i="16"/>
  <c r="E32" i="16"/>
  <c r="D32" i="16"/>
  <c r="C32" i="16"/>
  <c r="B32" i="16"/>
  <c r="G31" i="16"/>
  <c r="F31" i="16"/>
  <c r="E31" i="16"/>
  <c r="D31" i="16"/>
  <c r="C31" i="16"/>
  <c r="B31" i="16"/>
  <c r="G29" i="16"/>
  <c r="F29" i="16"/>
  <c r="E29" i="16"/>
  <c r="D29" i="16"/>
  <c r="C29" i="16"/>
  <c r="B29" i="16"/>
  <c r="B75" i="16" s="1"/>
  <c r="G21" i="16"/>
  <c r="F21" i="16"/>
  <c r="E21" i="16"/>
  <c r="D21" i="16"/>
  <c r="C21" i="16"/>
  <c r="B21" i="16"/>
  <c r="G20" i="16"/>
  <c r="H20" i="16" s="1"/>
  <c r="I20" i="16" s="1"/>
  <c r="J20" i="16" s="1"/>
  <c r="K20" i="16" s="1"/>
  <c r="L20" i="16" s="1"/>
  <c r="F20" i="16"/>
  <c r="E20" i="16"/>
  <c r="D20" i="16"/>
  <c r="C20" i="16"/>
  <c r="B20" i="16"/>
  <c r="G19" i="16"/>
  <c r="F19" i="16"/>
  <c r="E19" i="16"/>
  <c r="D19" i="16"/>
  <c r="C19" i="16"/>
  <c r="B19" i="16"/>
  <c r="G18" i="16"/>
  <c r="G31" i="24" s="1"/>
  <c r="F18" i="16"/>
  <c r="F31" i="24" s="1"/>
  <c r="E18" i="16"/>
  <c r="E31" i="24" s="1"/>
  <c r="D18" i="16"/>
  <c r="D31" i="24" s="1"/>
  <c r="C18" i="16"/>
  <c r="C31" i="24" s="1"/>
  <c r="B18" i="16"/>
  <c r="B31" i="24" s="1"/>
  <c r="G17" i="16"/>
  <c r="F17" i="16"/>
  <c r="E17" i="16"/>
  <c r="D17" i="16"/>
  <c r="C17" i="16"/>
  <c r="B17" i="16"/>
  <c r="G16" i="16"/>
  <c r="H16" i="16" s="1"/>
  <c r="F16" i="16"/>
  <c r="E16" i="16"/>
  <c r="D16" i="16"/>
  <c r="C16" i="16"/>
  <c r="B16" i="16"/>
  <c r="G15" i="16"/>
  <c r="H15" i="16" s="1"/>
  <c r="I15" i="16" s="1"/>
  <c r="J15" i="16" s="1"/>
  <c r="K15" i="16" s="1"/>
  <c r="L15" i="16" s="1"/>
  <c r="F15" i="16"/>
  <c r="E15" i="16"/>
  <c r="D15" i="16"/>
  <c r="C15" i="16"/>
  <c r="B15" i="16"/>
  <c r="G11" i="16"/>
  <c r="F11" i="16"/>
  <c r="F71" i="16" s="1"/>
  <c r="E11" i="16"/>
  <c r="E71" i="16" s="1"/>
  <c r="D11" i="16"/>
  <c r="D71" i="16" s="1"/>
  <c r="C11" i="16"/>
  <c r="C71" i="16" s="1"/>
  <c r="B11" i="16"/>
  <c r="B71" i="16" s="1"/>
  <c r="G10" i="16"/>
  <c r="F10" i="16"/>
  <c r="F69" i="16" s="1"/>
  <c r="E10" i="16"/>
  <c r="E69" i="16" s="1"/>
  <c r="D10" i="16"/>
  <c r="D69" i="16" s="1"/>
  <c r="C10" i="16"/>
  <c r="C69" i="16" s="1"/>
  <c r="B10" i="16"/>
  <c r="B69" i="16" s="1"/>
  <c r="G9" i="16"/>
  <c r="H9" i="16" s="1"/>
  <c r="I9" i="16" s="1"/>
  <c r="J9" i="16" s="1"/>
  <c r="K9" i="16" s="1"/>
  <c r="L9" i="16" s="1"/>
  <c r="F9" i="16"/>
  <c r="E9" i="16"/>
  <c r="D9" i="16"/>
  <c r="C9" i="16"/>
  <c r="B9" i="16"/>
  <c r="G8" i="16"/>
  <c r="G67" i="16" s="1"/>
  <c r="F8" i="16"/>
  <c r="F67" i="16" s="1"/>
  <c r="E8" i="16"/>
  <c r="E67" i="16" s="1"/>
  <c r="D8" i="16"/>
  <c r="D67" i="16" s="1"/>
  <c r="C8" i="16"/>
  <c r="C67" i="16" s="1"/>
  <c r="B8" i="16"/>
  <c r="B67" i="16" s="1"/>
  <c r="G7" i="16"/>
  <c r="F7" i="16"/>
  <c r="E7" i="16"/>
  <c r="D7" i="16"/>
  <c r="C7" i="16"/>
  <c r="B7" i="16"/>
  <c r="I28" i="18"/>
  <c r="F6" i="16"/>
  <c r="E6" i="16"/>
  <c r="D6" i="16"/>
  <c r="C6" i="16"/>
  <c r="B6" i="16"/>
  <c r="G63" i="13"/>
  <c r="G65" i="13" s="1"/>
  <c r="F63" i="13"/>
  <c r="F65" i="13" s="1"/>
  <c r="E63" i="13"/>
  <c r="E65" i="13" s="1"/>
  <c r="D63" i="13"/>
  <c r="D65" i="13" s="1"/>
  <c r="C63" i="13"/>
  <c r="C65" i="13" s="1"/>
  <c r="B63" i="13"/>
  <c r="B65" i="13" s="1"/>
  <c r="G56" i="13"/>
  <c r="G58" i="13" s="1"/>
  <c r="F56" i="13"/>
  <c r="F58" i="13" s="1"/>
  <c r="E56" i="13"/>
  <c r="E58" i="13" s="1"/>
  <c r="D56" i="13"/>
  <c r="D58" i="13" s="1"/>
  <c r="C56" i="13"/>
  <c r="C58" i="13" s="1"/>
  <c r="B56" i="13"/>
  <c r="B58" i="13" s="1"/>
  <c r="G45" i="13"/>
  <c r="G47" i="13" s="1"/>
  <c r="F45" i="13"/>
  <c r="F47" i="13" s="1"/>
  <c r="E45" i="13"/>
  <c r="E47" i="13" s="1"/>
  <c r="D45" i="13"/>
  <c r="D47" i="13" s="1"/>
  <c r="C45" i="13"/>
  <c r="C47" i="13" s="1"/>
  <c r="B45" i="13"/>
  <c r="B47" i="13" s="1"/>
  <c r="G41" i="13"/>
  <c r="G43" i="13" s="1"/>
  <c r="F41" i="13"/>
  <c r="F43" i="13" s="1"/>
  <c r="E41" i="13"/>
  <c r="E43" i="13" s="1"/>
  <c r="D41" i="13"/>
  <c r="D43" i="13" s="1"/>
  <c r="C41" i="13"/>
  <c r="C43" i="13" s="1"/>
  <c r="B41" i="13"/>
  <c r="B43" i="13" s="1"/>
  <c r="G37" i="13"/>
  <c r="G39" i="13" s="1"/>
  <c r="F37" i="13"/>
  <c r="F39" i="13" s="1"/>
  <c r="E37" i="13"/>
  <c r="E39" i="13" s="1"/>
  <c r="D37" i="13"/>
  <c r="D39" i="13" s="1"/>
  <c r="C37" i="13"/>
  <c r="C39" i="13" s="1"/>
  <c r="B37" i="13"/>
  <c r="B39" i="13" s="1"/>
  <c r="G18" i="13"/>
  <c r="G20" i="13" s="1"/>
  <c r="G23" i="13" s="1"/>
  <c r="G99" i="13" s="1"/>
  <c r="F18" i="13"/>
  <c r="F20" i="13" s="1"/>
  <c r="F23" i="13" s="1"/>
  <c r="F99" i="13" s="1"/>
  <c r="E18" i="13"/>
  <c r="E20" i="13" s="1"/>
  <c r="E23" i="13" s="1"/>
  <c r="E99" i="13" s="1"/>
  <c r="D18" i="13"/>
  <c r="D20" i="13" s="1"/>
  <c r="D23" i="13" s="1"/>
  <c r="D99" i="13" s="1"/>
  <c r="C18" i="13"/>
  <c r="C20" i="13" s="1"/>
  <c r="C23" i="13" s="1"/>
  <c r="C99" i="13" s="1"/>
  <c r="B18" i="13"/>
  <c r="B20" i="13" s="1"/>
  <c r="B23" i="13" s="1"/>
  <c r="B99" i="13" s="1"/>
  <c r="G11" i="13"/>
  <c r="G13" i="13" s="1"/>
  <c r="F11" i="13"/>
  <c r="F13" i="13" s="1"/>
  <c r="E11" i="13"/>
  <c r="E13" i="13" s="1"/>
  <c r="D11" i="13"/>
  <c r="D13" i="13" s="1"/>
  <c r="H29" i="6"/>
  <c r="G29" i="6"/>
  <c r="F29" i="6"/>
  <c r="E29" i="6"/>
  <c r="D29" i="6"/>
  <c r="C29" i="6"/>
  <c r="G25" i="6"/>
  <c r="F25" i="6"/>
  <c r="E25" i="6"/>
  <c r="D25" i="6"/>
  <c r="C25" i="6"/>
  <c r="H23" i="6"/>
  <c r="G23" i="6"/>
  <c r="F23" i="6"/>
  <c r="E23" i="6"/>
  <c r="D23" i="6"/>
  <c r="C23" i="6"/>
  <c r="G20" i="6"/>
  <c r="F20" i="6"/>
  <c r="E20" i="6"/>
  <c r="D20" i="6"/>
  <c r="C20" i="6"/>
  <c r="H18" i="6"/>
  <c r="G18" i="6"/>
  <c r="F18" i="6"/>
  <c r="E18" i="6"/>
  <c r="D18" i="6"/>
  <c r="C18" i="6"/>
  <c r="G16" i="6"/>
  <c r="F16" i="6"/>
  <c r="E16" i="6"/>
  <c r="D16" i="6"/>
  <c r="C16" i="6"/>
  <c r="H14" i="6"/>
  <c r="G14" i="6"/>
  <c r="F14" i="6"/>
  <c r="E14" i="6"/>
  <c r="D14" i="6"/>
  <c r="C14" i="6"/>
  <c r="G12" i="6"/>
  <c r="F12" i="6"/>
  <c r="E12" i="6"/>
  <c r="D12" i="6"/>
  <c r="H10" i="6"/>
  <c r="G10" i="6"/>
  <c r="F10" i="6"/>
  <c r="E10" i="6"/>
  <c r="D10" i="6"/>
  <c r="C10" i="6"/>
  <c r="G8" i="6"/>
  <c r="F8" i="6"/>
  <c r="E8" i="6"/>
  <c r="D8" i="6"/>
  <c r="C8" i="6"/>
  <c r="H6" i="6"/>
  <c r="G6" i="6"/>
  <c r="F6" i="6"/>
  <c r="E6" i="6"/>
  <c r="D6" i="6"/>
  <c r="C6" i="6"/>
  <c r="H144" i="12"/>
  <c r="G144" i="12"/>
  <c r="F144" i="12"/>
  <c r="E144" i="12"/>
  <c r="D144" i="12"/>
  <c r="D147" i="12" s="1"/>
  <c r="C144" i="12"/>
  <c r="C147" i="12" s="1"/>
  <c r="H132" i="12"/>
  <c r="G132" i="12"/>
  <c r="F132" i="12"/>
  <c r="E132" i="12"/>
  <c r="D132" i="12"/>
  <c r="C132" i="12"/>
  <c r="H123" i="12"/>
  <c r="G123" i="12"/>
  <c r="F123" i="12"/>
  <c r="E123" i="12"/>
  <c r="D123" i="12"/>
  <c r="C123" i="12"/>
  <c r="H111" i="12"/>
  <c r="G111" i="12"/>
  <c r="F111" i="12"/>
  <c r="E111" i="12"/>
  <c r="D111" i="12"/>
  <c r="C111" i="12"/>
  <c r="H101" i="12"/>
  <c r="G101" i="12"/>
  <c r="F101" i="12"/>
  <c r="E101" i="12"/>
  <c r="D101" i="12"/>
  <c r="C101" i="12"/>
  <c r="C11" i="13"/>
  <c r="C13" i="13" s="1"/>
  <c r="B11" i="13"/>
  <c r="B13" i="13" s="1"/>
  <c r="H33" i="12"/>
  <c r="G6" i="13" s="1"/>
  <c r="G8" i="13" s="1"/>
  <c r="G8" i="36" s="1"/>
  <c r="G33" i="12"/>
  <c r="F6" i="13" s="1"/>
  <c r="F8" i="13" s="1"/>
  <c r="F8" i="36" s="1"/>
  <c r="F33" i="12"/>
  <c r="E6" i="13" s="1"/>
  <c r="E33" i="12"/>
  <c r="D6" i="13" s="1"/>
  <c r="D8" i="13" s="1"/>
  <c r="D8" i="36" s="1"/>
  <c r="D33" i="12"/>
  <c r="C6" i="13" s="1"/>
  <c r="C8" i="13" s="1"/>
  <c r="C33" i="12"/>
  <c r="H14" i="12"/>
  <c r="G14" i="12"/>
  <c r="F14" i="12"/>
  <c r="E14" i="12"/>
  <c r="D14" i="12"/>
  <c r="C14" i="12"/>
  <c r="E147" i="12" l="1"/>
  <c r="D10" i="36"/>
  <c r="M19" i="20"/>
  <c r="D43" i="16"/>
  <c r="D43" i="12"/>
  <c r="D48" i="12" s="1"/>
  <c r="D51" i="12" s="1"/>
  <c r="G147" i="12"/>
  <c r="F10" i="36"/>
  <c r="H147" i="12"/>
  <c r="G10" i="36"/>
  <c r="E43" i="12"/>
  <c r="E48" i="12" s="1"/>
  <c r="E51" i="12" s="1"/>
  <c r="F147" i="12"/>
  <c r="E10" i="36"/>
  <c r="C15" i="17"/>
  <c r="I15" i="17" s="1"/>
  <c r="J15" i="17" s="1"/>
  <c r="L19" i="20"/>
  <c r="C39" i="16"/>
  <c r="C43" i="16" s="1"/>
  <c r="I5" i="20"/>
  <c r="I13" i="20" s="1"/>
  <c r="N19" i="20"/>
  <c r="G12" i="16"/>
  <c r="G43" i="16"/>
  <c r="E78" i="16"/>
  <c r="C75" i="16"/>
  <c r="C78" i="16" s="1"/>
  <c r="C34" i="16"/>
  <c r="C55" i="16"/>
  <c r="C58" i="16" s="1"/>
  <c r="J21" i="20" s="1"/>
  <c r="G13" i="24"/>
  <c r="H13" i="24" s="1"/>
  <c r="B12" i="16"/>
  <c r="B10" i="24"/>
  <c r="C6" i="24" s="1"/>
  <c r="D75" i="16"/>
  <c r="D78" i="16" s="1"/>
  <c r="D34" i="16"/>
  <c r="D55" i="16"/>
  <c r="D58" i="16" s="1"/>
  <c r="K21" i="20" s="1"/>
  <c r="C10" i="24"/>
  <c r="D6" i="24" s="1"/>
  <c r="E75" i="16"/>
  <c r="E34" i="16"/>
  <c r="E55" i="16"/>
  <c r="E58" i="16" s="1"/>
  <c r="L21" i="20" s="1"/>
  <c r="L23" i="20" s="1"/>
  <c r="D10" i="24"/>
  <c r="D13" i="24" s="1"/>
  <c r="F75" i="16"/>
  <c r="F78" i="16" s="1"/>
  <c r="F34" i="16"/>
  <c r="F55" i="16"/>
  <c r="F58" i="16" s="1"/>
  <c r="M21" i="20" s="1"/>
  <c r="M23" i="20" s="1"/>
  <c r="E12" i="16"/>
  <c r="E10" i="24"/>
  <c r="G75" i="16"/>
  <c r="G76" i="16" s="1"/>
  <c r="G34" i="16"/>
  <c r="H51" i="16"/>
  <c r="I51" i="16" s="1"/>
  <c r="J51" i="16" s="1"/>
  <c r="K51" i="16" s="1"/>
  <c r="L51" i="16" s="1"/>
  <c r="G55" i="16"/>
  <c r="G58" i="16" s="1"/>
  <c r="N21" i="20" s="1"/>
  <c r="F12" i="16"/>
  <c r="F10" i="24"/>
  <c r="F13" i="24" s="1"/>
  <c r="I19" i="20"/>
  <c r="G10" i="24"/>
  <c r="H6" i="24" s="1"/>
  <c r="J19" i="20"/>
  <c r="K19" i="20"/>
  <c r="I76" i="17"/>
  <c r="K76" i="17" s="1"/>
  <c r="M71" i="17"/>
  <c r="M72" i="17"/>
  <c r="I77" i="17"/>
  <c r="K77" i="17" s="1"/>
  <c r="M73" i="17"/>
  <c r="I78" i="17"/>
  <c r="K78" i="17" s="1"/>
  <c r="M76" i="17"/>
  <c r="I81" i="17"/>
  <c r="K81" i="17" s="1"/>
  <c r="I82" i="17"/>
  <c r="K82" i="17" s="1"/>
  <c r="M77" i="17"/>
  <c r="M78" i="17"/>
  <c r="I83" i="17"/>
  <c r="K83" i="17" s="1"/>
  <c r="C90" i="13"/>
  <c r="C13" i="24"/>
  <c r="F6" i="15"/>
  <c r="C16" i="17"/>
  <c r="I16" i="17" s="1"/>
  <c r="J16" i="17" s="1"/>
  <c r="G43" i="12"/>
  <c r="G48" i="12" s="1"/>
  <c r="G51" i="12" s="1"/>
  <c r="G55" i="12" s="1"/>
  <c r="H113" i="12"/>
  <c r="C12" i="16"/>
  <c r="H99" i="13"/>
  <c r="D12" i="16"/>
  <c r="D70" i="16"/>
  <c r="D32" i="25"/>
  <c r="D48" i="25" s="1"/>
  <c r="H7" i="16"/>
  <c r="I7" i="16" s="1"/>
  <c r="C5" i="26"/>
  <c r="D33" i="25"/>
  <c r="D49" i="25" s="1"/>
  <c r="G69" i="16"/>
  <c r="G70" i="16" s="1"/>
  <c r="C13" i="26"/>
  <c r="H21" i="16"/>
  <c r="I21" i="16" s="1"/>
  <c r="J21" i="16" s="1"/>
  <c r="K21" i="16" s="1"/>
  <c r="L21" i="16" s="1"/>
  <c r="D30" i="25"/>
  <c r="D46" i="25" s="1"/>
  <c r="G71" i="16"/>
  <c r="G72" i="16" s="1"/>
  <c r="B39" i="16"/>
  <c r="B43" i="16" s="1"/>
  <c r="C70" i="16"/>
  <c r="F27" i="24"/>
  <c r="E29" i="24"/>
  <c r="G27" i="24"/>
  <c r="F29" i="24"/>
  <c r="E70" i="16"/>
  <c r="H27" i="24"/>
  <c r="G29" i="24"/>
  <c r="B78" i="16"/>
  <c r="F70" i="16"/>
  <c r="D68" i="16"/>
  <c r="B76" i="16"/>
  <c r="C72" i="16"/>
  <c r="I16" i="16"/>
  <c r="F68" i="16"/>
  <c r="D72" i="16"/>
  <c r="C68" i="16"/>
  <c r="G68" i="16"/>
  <c r="C8" i="24"/>
  <c r="E76" i="16"/>
  <c r="F72" i="16"/>
  <c r="F6" i="24"/>
  <c r="E8" i="24"/>
  <c r="I42" i="16"/>
  <c r="D90" i="13"/>
  <c r="C27" i="24"/>
  <c r="B29" i="24"/>
  <c r="B34" i="24" s="1"/>
  <c r="F90" i="13"/>
  <c r="D27" i="24"/>
  <c r="C29" i="24"/>
  <c r="G90" i="13"/>
  <c r="B70" i="16"/>
  <c r="E27" i="24"/>
  <c r="D29" i="24"/>
  <c r="C24" i="17"/>
  <c r="C30" i="17" s="1"/>
  <c r="F43" i="12"/>
  <c r="F48" i="12" s="1"/>
  <c r="F51" i="12" s="1"/>
  <c r="F55" i="12" s="1"/>
  <c r="D134" i="12"/>
  <c r="D149" i="12" s="1"/>
  <c r="H43" i="12"/>
  <c r="H48" i="12" s="1"/>
  <c r="H51" i="12" s="1"/>
  <c r="H54" i="12" s="1"/>
  <c r="H134" i="12"/>
  <c r="H149" i="12" s="1"/>
  <c r="H151" i="12" s="1"/>
  <c r="C134" i="12"/>
  <c r="C149" i="12" s="1"/>
  <c r="F134" i="12"/>
  <c r="F149" i="12" s="1"/>
  <c r="E113" i="12"/>
  <c r="E134" i="12"/>
  <c r="E149" i="12" s="1"/>
  <c r="C113" i="12"/>
  <c r="G134" i="12"/>
  <c r="G149" i="12" s="1"/>
  <c r="D113" i="12"/>
  <c r="F113" i="12"/>
  <c r="G113" i="12"/>
  <c r="G92" i="13"/>
  <c r="F92" i="13"/>
  <c r="C87" i="13"/>
  <c r="C43" i="12"/>
  <c r="C48" i="12" s="1"/>
  <c r="C51" i="12" s="1"/>
  <c r="C55" i="12" s="1"/>
  <c r="E11" i="6"/>
  <c r="F16" i="13"/>
  <c r="F30" i="13" s="1"/>
  <c r="F35" i="13" s="1"/>
  <c r="G87" i="13"/>
  <c r="D24" i="6"/>
  <c r="D16" i="13"/>
  <c r="D30" i="13" s="1"/>
  <c r="D35" i="13" s="1"/>
  <c r="D87" i="13"/>
  <c r="C16" i="13"/>
  <c r="C30" i="13" s="1"/>
  <c r="C35" i="13" s="1"/>
  <c r="F88" i="13"/>
  <c r="B34" i="16"/>
  <c r="C92" i="13"/>
  <c r="D92" i="13"/>
  <c r="E15" i="6"/>
  <c r="E15" i="13"/>
  <c r="E34" i="13" s="1"/>
  <c r="E53" i="13" s="1"/>
  <c r="E60" i="13" s="1"/>
  <c r="E67" i="13" s="1"/>
  <c r="E8" i="13"/>
  <c r="F87" i="13"/>
  <c r="D88" i="13"/>
  <c r="C88" i="13"/>
  <c r="G88" i="13"/>
  <c r="G16" i="13"/>
  <c r="D15" i="13"/>
  <c r="D34" i="13" s="1"/>
  <c r="D53" i="13" s="1"/>
  <c r="D60" i="13" s="1"/>
  <c r="D67" i="13" s="1"/>
  <c r="C15" i="13"/>
  <c r="C34" i="13" s="1"/>
  <c r="C53" i="13" s="1"/>
  <c r="C60" i="13" s="1"/>
  <c r="C67" i="13" s="1"/>
  <c r="F15" i="13"/>
  <c r="F34" i="13" s="1"/>
  <c r="F53" i="13" s="1"/>
  <c r="F60" i="13" s="1"/>
  <c r="F67" i="13" s="1"/>
  <c r="G15" i="13"/>
  <c r="G34" i="13" s="1"/>
  <c r="G53" i="13" s="1"/>
  <c r="G60" i="13" s="1"/>
  <c r="G67" i="13" s="1"/>
  <c r="H55" i="12"/>
  <c r="G54" i="12"/>
  <c r="E55" i="12"/>
  <c r="E54" i="12"/>
  <c r="D54" i="12"/>
  <c r="D55" i="12"/>
  <c r="G22" i="16"/>
  <c r="C6" i="26"/>
  <c r="D15" i="6"/>
  <c r="F15" i="6"/>
  <c r="B55" i="16"/>
  <c r="B58" i="16" s="1"/>
  <c r="I21" i="20" s="1"/>
  <c r="B6" i="13"/>
  <c r="F24" i="6"/>
  <c r="B22" i="16"/>
  <c r="C22" i="16"/>
  <c r="D22" i="16"/>
  <c r="E22" i="16"/>
  <c r="F22" i="16"/>
  <c r="E24" i="6"/>
  <c r="G24" i="6"/>
  <c r="F19" i="6"/>
  <c r="D11" i="6"/>
  <c r="G7" i="6"/>
  <c r="E19" i="6"/>
  <c r="D19" i="6"/>
  <c r="G15" i="6"/>
  <c r="C27" i="6"/>
  <c r="C30" i="6" s="1"/>
  <c r="G11" i="6"/>
  <c r="D27" i="6"/>
  <c r="D30" i="6" s="1"/>
  <c r="E27" i="6"/>
  <c r="E32" i="6" s="1"/>
  <c r="H11" i="6"/>
  <c r="G19" i="6"/>
  <c r="H7" i="6"/>
  <c r="D7" i="6"/>
  <c r="E7" i="6"/>
  <c r="F27" i="6"/>
  <c r="F32" i="6" s="1"/>
  <c r="G27" i="6"/>
  <c r="G32" i="6" s="1"/>
  <c r="H15" i="6"/>
  <c r="H19" i="6"/>
  <c r="H24" i="6"/>
  <c r="H27" i="6"/>
  <c r="H32" i="6" s="1"/>
  <c r="F7" i="6"/>
  <c r="F11" i="6"/>
  <c r="F5" i="15"/>
  <c r="F7" i="15"/>
  <c r="E13" i="24" l="1"/>
  <c r="E8" i="36"/>
  <c r="G151" i="12"/>
  <c r="F8" i="24"/>
  <c r="G6" i="24"/>
  <c r="D76" i="16"/>
  <c r="F54" i="12"/>
  <c r="B8" i="24"/>
  <c r="B15" i="24" s="1"/>
  <c r="C76" i="16"/>
  <c r="K23" i="20"/>
  <c r="J23" i="20"/>
  <c r="F76" i="16"/>
  <c r="H76" i="16" s="1"/>
  <c r="E6" i="24"/>
  <c r="E7" i="24" s="1"/>
  <c r="I23" i="20"/>
  <c r="I25" i="6"/>
  <c r="L25" i="6" s="1"/>
  <c r="L23" i="6" s="1"/>
  <c r="M23" i="6" s="1"/>
  <c r="N23" i="6" s="1"/>
  <c r="O23" i="6" s="1"/>
  <c r="P23" i="6" s="1"/>
  <c r="G78" i="16"/>
  <c r="N23" i="20"/>
  <c r="O23" i="20" s="1"/>
  <c r="G8" i="24"/>
  <c r="G7" i="24" s="1"/>
  <c r="I16" i="6"/>
  <c r="L16" i="6" s="1"/>
  <c r="L14" i="6" s="1"/>
  <c r="M14" i="6" s="1"/>
  <c r="N14" i="6" s="1"/>
  <c r="O14" i="6" s="1"/>
  <c r="P14" i="6" s="1"/>
  <c r="E151" i="12"/>
  <c r="I12" i="6"/>
  <c r="L12" i="6" s="1"/>
  <c r="L10" i="6" s="1"/>
  <c r="M10" i="6" s="1"/>
  <c r="N10" i="6" s="1"/>
  <c r="O10" i="6" s="1"/>
  <c r="P10" i="6" s="1"/>
  <c r="F151" i="12"/>
  <c r="D151" i="12"/>
  <c r="I20" i="6"/>
  <c r="C151" i="12"/>
  <c r="I8" i="6"/>
  <c r="D8" i="24"/>
  <c r="D7" i="24" s="1"/>
  <c r="C15" i="26"/>
  <c r="C8" i="26"/>
  <c r="C17" i="26"/>
  <c r="E15" i="24"/>
  <c r="J16" i="16"/>
  <c r="G28" i="24"/>
  <c r="G34" i="24"/>
  <c r="E90" i="13"/>
  <c r="H90" i="13" s="1"/>
  <c r="C15" i="24"/>
  <c r="C7" i="24"/>
  <c r="E68" i="16"/>
  <c r="H68" i="16" s="1"/>
  <c r="H70" i="16"/>
  <c r="C34" i="24"/>
  <c r="C28" i="24"/>
  <c r="E72" i="16"/>
  <c r="H72" i="16" s="1"/>
  <c r="J7" i="16"/>
  <c r="F15" i="24"/>
  <c r="F7" i="24"/>
  <c r="D28" i="24"/>
  <c r="D34" i="24"/>
  <c r="F28" i="24"/>
  <c r="F34" i="24"/>
  <c r="J42" i="16"/>
  <c r="E28" i="24"/>
  <c r="E34" i="24"/>
  <c r="E88" i="13"/>
  <c r="H88" i="13" s="1"/>
  <c r="C54" i="12"/>
  <c r="G30" i="13"/>
  <c r="G35" i="13" s="1"/>
  <c r="H63" i="30" s="1"/>
  <c r="B24" i="16"/>
  <c r="I20" i="20" s="1"/>
  <c r="I22" i="20" s="1"/>
  <c r="C24" i="16"/>
  <c r="J20" i="20" s="1"/>
  <c r="J22" i="20" s="1"/>
  <c r="I21" i="17"/>
  <c r="J21" i="17" s="1"/>
  <c r="C29" i="17" s="1"/>
  <c r="D7" i="17" s="1"/>
  <c r="D9" i="17" s="1"/>
  <c r="M7" i="17" s="1"/>
  <c r="N7" i="17" s="1"/>
  <c r="N8" i="17" s="1"/>
  <c r="C6" i="25" s="1"/>
  <c r="J20" i="17"/>
  <c r="G24" i="16"/>
  <c r="C45" i="16"/>
  <c r="C60" i="16" s="1"/>
  <c r="D24" i="16"/>
  <c r="B45" i="16"/>
  <c r="E45" i="16"/>
  <c r="E60" i="16" s="1"/>
  <c r="B15" i="13"/>
  <c r="B34" i="13" s="1"/>
  <c r="B53" i="13" s="1"/>
  <c r="B60" i="13" s="1"/>
  <c r="B67" i="13" s="1"/>
  <c r="B8" i="13"/>
  <c r="B13" i="24" s="1"/>
  <c r="D45" i="16"/>
  <c r="D60" i="16" s="1"/>
  <c r="F45" i="16"/>
  <c r="F60" i="16" s="1"/>
  <c r="E16" i="13"/>
  <c r="E92" i="13"/>
  <c r="H92" i="13" s="1"/>
  <c r="E87" i="13"/>
  <c r="H87" i="13" s="1"/>
  <c r="F24" i="16"/>
  <c r="D32" i="6"/>
  <c r="G45" i="16"/>
  <c r="G60" i="16" s="1"/>
  <c r="E24" i="16"/>
  <c r="C32" i="6"/>
  <c r="H30" i="6"/>
  <c r="F30" i="6"/>
  <c r="E30" i="6"/>
  <c r="G30" i="6"/>
  <c r="M20" i="20" l="1"/>
  <c r="M22" i="20" s="1"/>
  <c r="F9" i="36"/>
  <c r="L20" i="20"/>
  <c r="L22" i="20" s="1"/>
  <c r="E9" i="36"/>
  <c r="E16" i="36" s="1"/>
  <c r="D15" i="24"/>
  <c r="E14" i="36"/>
  <c r="N20" i="20"/>
  <c r="N22" i="20" s="1"/>
  <c r="O22" i="20" s="1"/>
  <c r="G9" i="36"/>
  <c r="K20" i="20"/>
  <c r="K22" i="20" s="1"/>
  <c r="D9" i="36"/>
  <c r="G15" i="24"/>
  <c r="I30" i="6"/>
  <c r="L30" i="6" s="1"/>
  <c r="L29" i="6" s="1"/>
  <c r="M29" i="6" s="1"/>
  <c r="N29" i="6" s="1"/>
  <c r="O29" i="6" s="1"/>
  <c r="P29" i="6" s="1"/>
  <c r="H65" i="30"/>
  <c r="K65" i="30" s="1"/>
  <c r="K63" i="30"/>
  <c r="H62" i="30"/>
  <c r="H68" i="30" s="1"/>
  <c r="C62" i="16"/>
  <c r="B60" i="16"/>
  <c r="B62" i="16" s="1"/>
  <c r="G62" i="16"/>
  <c r="F62" i="16"/>
  <c r="D62" i="16"/>
  <c r="E62" i="16"/>
  <c r="H28" i="24"/>
  <c r="K16" i="16"/>
  <c r="K7" i="16"/>
  <c r="K42" i="16"/>
  <c r="H34" i="24"/>
  <c r="B90" i="13"/>
  <c r="B72" i="16"/>
  <c r="B68" i="16"/>
  <c r="H15" i="24"/>
  <c r="E30" i="13"/>
  <c r="E35" i="13" s="1"/>
  <c r="B92" i="13"/>
  <c r="B87" i="13"/>
  <c r="B16" i="13"/>
  <c r="B30" i="13" s="1"/>
  <c r="B35" i="13" s="1"/>
  <c r="B88" i="13"/>
  <c r="L8" i="6"/>
  <c r="L6" i="6"/>
  <c r="L20" i="6"/>
  <c r="L18" i="6"/>
  <c r="M18" i="6" s="1"/>
  <c r="N18" i="6" s="1"/>
  <c r="O18" i="6" s="1"/>
  <c r="P18" i="6" s="1"/>
  <c r="D16" i="36" l="1"/>
  <c r="D14" i="36"/>
  <c r="G16" i="36"/>
  <c r="G14" i="36"/>
  <c r="F16" i="36"/>
  <c r="F14" i="36"/>
  <c r="H70" i="30"/>
  <c r="H72" i="30" s="1"/>
  <c r="H74" i="30" s="1"/>
  <c r="N63" i="30"/>
  <c r="B16" i="35"/>
  <c r="N65" i="30"/>
  <c r="B7" i="35"/>
  <c r="L7" i="16"/>
  <c r="L16" i="16"/>
  <c r="L42" i="16"/>
  <c r="I28" i="24"/>
  <c r="J28" i="24" s="1"/>
  <c r="K28" i="24" s="1"/>
  <c r="L28" i="24" s="1"/>
  <c r="H29" i="24"/>
  <c r="H30" i="24" s="1"/>
  <c r="M6" i="6"/>
  <c r="L27" i="6"/>
  <c r="L32" i="6" s="1"/>
  <c r="H8" i="13" s="1"/>
  <c r="H39" i="13" s="1"/>
  <c r="H23" i="13" l="1"/>
  <c r="H98" i="13" s="1"/>
  <c r="H13" i="13"/>
  <c r="H71" i="16"/>
  <c r="H11" i="16" s="1"/>
  <c r="H67" i="16"/>
  <c r="H8" i="24"/>
  <c r="H7" i="24" s="1"/>
  <c r="I16" i="18" s="1"/>
  <c r="F16" i="35"/>
  <c r="N16" i="35" s="1"/>
  <c r="Q16" i="35" s="1"/>
  <c r="Q20" i="35" s="1"/>
  <c r="I12" i="27" s="1"/>
  <c r="E6" i="28" s="1"/>
  <c r="E16" i="35"/>
  <c r="M16" i="35" s="1"/>
  <c r="P16" i="35" s="1"/>
  <c r="P20" i="35" s="1"/>
  <c r="H12" i="27" s="1"/>
  <c r="C6" i="28" s="1"/>
  <c r="H77" i="30"/>
  <c r="K77" i="30" s="1"/>
  <c r="K74" i="30"/>
  <c r="E7" i="35"/>
  <c r="M7" i="35" s="1"/>
  <c r="P7" i="35" s="1"/>
  <c r="P11" i="35" s="1"/>
  <c r="H11" i="27" s="1"/>
  <c r="F7" i="35"/>
  <c r="N7" i="35" s="1"/>
  <c r="Q7" i="35" s="1"/>
  <c r="Q11" i="35" s="1"/>
  <c r="I11" i="27" s="1"/>
  <c r="H31" i="24"/>
  <c r="H16" i="13"/>
  <c r="H8" i="16"/>
  <c r="N6" i="6"/>
  <c r="M27" i="6"/>
  <c r="M32" i="6" s="1"/>
  <c r="I8" i="13" s="1"/>
  <c r="I8" i="24" l="1"/>
  <c r="I9" i="24" s="1"/>
  <c r="I39" i="13"/>
  <c r="H75" i="16"/>
  <c r="H29" i="16" s="1"/>
  <c r="H34" i="16" s="1"/>
  <c r="H69" i="16"/>
  <c r="H78" i="16" s="1"/>
  <c r="I13" i="13"/>
  <c r="I16" i="13" s="1"/>
  <c r="I23" i="13"/>
  <c r="I98" i="13" s="1"/>
  <c r="I71" i="16"/>
  <c r="I11" i="16" s="1"/>
  <c r="I67" i="16"/>
  <c r="D6" i="28"/>
  <c r="D5" i="28"/>
  <c r="N74" i="30"/>
  <c r="B34" i="35"/>
  <c r="I27" i="24"/>
  <c r="I29" i="24" s="1"/>
  <c r="I30" i="24" s="1"/>
  <c r="I31" i="24" s="1"/>
  <c r="H18" i="16"/>
  <c r="H9" i="24"/>
  <c r="H10" i="24" s="1"/>
  <c r="O6" i="6"/>
  <c r="N27" i="6"/>
  <c r="N32" i="6" s="1"/>
  <c r="J8" i="13" s="1"/>
  <c r="H10" i="16" l="1"/>
  <c r="D13" i="26" s="1"/>
  <c r="I8" i="16"/>
  <c r="J8" i="24"/>
  <c r="J9" i="24" s="1"/>
  <c r="J39" i="13"/>
  <c r="I75" i="16"/>
  <c r="I69" i="16"/>
  <c r="I78" i="16" s="1"/>
  <c r="J23" i="13"/>
  <c r="J98" i="13" s="1"/>
  <c r="J13" i="13"/>
  <c r="J16" i="13" s="1"/>
  <c r="J67" i="16"/>
  <c r="J8" i="16" s="1"/>
  <c r="J71" i="16"/>
  <c r="J11" i="16" s="1"/>
  <c r="F34" i="35"/>
  <c r="I34" i="35" s="1"/>
  <c r="I38" i="35" s="1"/>
  <c r="E34" i="35"/>
  <c r="H34" i="35" s="1"/>
  <c r="H38" i="35" s="1"/>
  <c r="D6" i="26"/>
  <c r="I18" i="18"/>
  <c r="D16" i="25"/>
  <c r="I6" i="24"/>
  <c r="I7" i="24" s="1"/>
  <c r="J16" i="18" s="1"/>
  <c r="H17" i="16"/>
  <c r="H22" i="16" s="1"/>
  <c r="J27" i="24"/>
  <c r="J29" i="24" s="1"/>
  <c r="J30" i="24" s="1"/>
  <c r="J31" i="24" s="1"/>
  <c r="I18" i="16"/>
  <c r="H79" i="16"/>
  <c r="I12" i="18" s="1"/>
  <c r="D15" i="25" s="1"/>
  <c r="H32" i="13"/>
  <c r="I9" i="18" s="1"/>
  <c r="D14" i="25" s="1"/>
  <c r="H20" i="24"/>
  <c r="I29" i="16"/>
  <c r="I34" i="16" s="1"/>
  <c r="H30" i="13"/>
  <c r="P6" i="6"/>
  <c r="P27" i="6" s="1"/>
  <c r="P32" i="6" s="1"/>
  <c r="L8" i="13" s="1"/>
  <c r="O27" i="6"/>
  <c r="O32" i="6" s="1"/>
  <c r="K8" i="13" s="1"/>
  <c r="I10" i="16" l="1"/>
  <c r="E13" i="26" s="1"/>
  <c r="K8" i="24"/>
  <c r="K9" i="24" s="1"/>
  <c r="K39" i="13"/>
  <c r="L39" i="13"/>
  <c r="L8" i="24"/>
  <c r="L9" i="24" s="1"/>
  <c r="J69" i="16"/>
  <c r="J10" i="16" s="1"/>
  <c r="F13" i="26" s="1"/>
  <c r="J75" i="16"/>
  <c r="J29" i="16" s="1"/>
  <c r="J34" i="16" s="1"/>
  <c r="K23" i="13"/>
  <c r="K98" i="13" s="1"/>
  <c r="K13" i="13"/>
  <c r="K67" i="16"/>
  <c r="K71" i="16"/>
  <c r="K11" i="16" s="1"/>
  <c r="L23" i="13"/>
  <c r="L98" i="13" s="1"/>
  <c r="L13" i="13"/>
  <c r="L71" i="16"/>
  <c r="L11" i="16" s="1"/>
  <c r="L67" i="16"/>
  <c r="L8" i="16" s="1"/>
  <c r="H43" i="35"/>
  <c r="I14" i="27"/>
  <c r="E7" i="28" s="1"/>
  <c r="D43" i="35"/>
  <c r="H14" i="27"/>
  <c r="C7" i="28" s="1"/>
  <c r="E6" i="26"/>
  <c r="J18" i="18"/>
  <c r="E16" i="25"/>
  <c r="K27" i="24"/>
  <c r="K29" i="24" s="1"/>
  <c r="K30" i="24" s="1"/>
  <c r="K31" i="24" s="1"/>
  <c r="J18" i="16"/>
  <c r="H35" i="13"/>
  <c r="I79" i="16"/>
  <c r="I10" i="18"/>
  <c r="H52" i="16"/>
  <c r="I52" i="16" s="1"/>
  <c r="J52" i="16" s="1"/>
  <c r="K52" i="16" s="1"/>
  <c r="I32" i="13"/>
  <c r="J9" i="18" s="1"/>
  <c r="E14" i="25" s="1"/>
  <c r="I20" i="24"/>
  <c r="K16" i="13"/>
  <c r="J10" i="24"/>
  <c r="I10" i="24"/>
  <c r="H19" i="24"/>
  <c r="H18" i="24"/>
  <c r="I30" i="13"/>
  <c r="J10" i="18"/>
  <c r="F54" i="13"/>
  <c r="F94" i="13" s="1"/>
  <c r="D54" i="13"/>
  <c r="D61" i="13" s="1"/>
  <c r="D7" i="36" s="1"/>
  <c r="E54" i="13"/>
  <c r="E94" i="13" s="1"/>
  <c r="L52" i="16" l="1"/>
  <c r="D18" i="36"/>
  <c r="D12" i="36"/>
  <c r="J78" i="16"/>
  <c r="J12" i="18"/>
  <c r="E15" i="25" s="1"/>
  <c r="K8" i="16"/>
  <c r="I44" i="35"/>
  <c r="L69" i="16"/>
  <c r="L75" i="16"/>
  <c r="K69" i="16"/>
  <c r="K75" i="16"/>
  <c r="K29" i="16" s="1"/>
  <c r="K34" i="16" s="1"/>
  <c r="D11" i="25"/>
  <c r="D12" i="25" s="1"/>
  <c r="D13" i="25" s="1"/>
  <c r="D17" i="25" s="1"/>
  <c r="L16" i="13"/>
  <c r="I35" i="13"/>
  <c r="L39" i="28"/>
  <c r="L41" i="28" s="1"/>
  <c r="E11" i="28"/>
  <c r="D7" i="28"/>
  <c r="C11" i="28"/>
  <c r="F6" i="26"/>
  <c r="J6" i="24"/>
  <c r="J7" i="24" s="1"/>
  <c r="K16" i="18" s="1"/>
  <c r="I17" i="16"/>
  <c r="I22" i="16" s="1"/>
  <c r="K6" i="24"/>
  <c r="K7" i="24" s="1"/>
  <c r="L16" i="18" s="1"/>
  <c r="J17" i="16"/>
  <c r="J22" i="16" s="1"/>
  <c r="L27" i="24"/>
  <c r="L29" i="24" s="1"/>
  <c r="L30" i="24" s="1"/>
  <c r="L31" i="24" s="1"/>
  <c r="L18" i="16" s="1"/>
  <c r="K18" i="16"/>
  <c r="J79" i="16"/>
  <c r="L10" i="24"/>
  <c r="L17" i="16" s="1"/>
  <c r="L22" i="16" s="1"/>
  <c r="K10" i="24"/>
  <c r="L29" i="16"/>
  <c r="L34" i="16" s="1"/>
  <c r="L10" i="16"/>
  <c r="J32" i="13"/>
  <c r="K9" i="18" s="1"/>
  <c r="F14" i="25" s="1"/>
  <c r="J20" i="24"/>
  <c r="I19" i="24"/>
  <c r="I18" i="24"/>
  <c r="J30" i="13"/>
  <c r="K10" i="18"/>
  <c r="D94" i="13"/>
  <c r="D96" i="13"/>
  <c r="D68" i="13"/>
  <c r="E61" i="13"/>
  <c r="E7" i="36" s="1"/>
  <c r="F61" i="13"/>
  <c r="F7" i="36" s="1"/>
  <c r="E12" i="36" l="1"/>
  <c r="E18" i="36"/>
  <c r="F18" i="36"/>
  <c r="F12" i="36"/>
  <c r="K78" i="16"/>
  <c r="L78" i="16"/>
  <c r="K12" i="18"/>
  <c r="F15" i="25" s="1"/>
  <c r="E11" i="25"/>
  <c r="E12" i="25" s="1"/>
  <c r="E13" i="25" s="1"/>
  <c r="E17" i="25" s="1"/>
  <c r="G6" i="26"/>
  <c r="L18" i="18"/>
  <c r="G16" i="25"/>
  <c r="K18" i="18"/>
  <c r="F16" i="25"/>
  <c r="K79" i="16"/>
  <c r="K10" i="16"/>
  <c r="G13" i="26" s="1"/>
  <c r="L6" i="24"/>
  <c r="L7" i="24" s="1"/>
  <c r="M16" i="18" s="1"/>
  <c r="K17" i="16"/>
  <c r="K22" i="16" s="1"/>
  <c r="J18" i="24"/>
  <c r="J19" i="24"/>
  <c r="L32" i="13"/>
  <c r="M9" i="18" s="1"/>
  <c r="H14" i="25" s="1"/>
  <c r="L20" i="24"/>
  <c r="K32" i="13"/>
  <c r="L9" i="18" s="1"/>
  <c r="G14" i="25" s="1"/>
  <c r="K20" i="24"/>
  <c r="J35" i="13"/>
  <c r="K30" i="13"/>
  <c r="L10" i="18"/>
  <c r="L30" i="13"/>
  <c r="M10" i="18"/>
  <c r="F68" i="13"/>
  <c r="F96" i="13"/>
  <c r="E96" i="13"/>
  <c r="E68" i="13"/>
  <c r="D76" i="13"/>
  <c r="D101" i="13"/>
  <c r="D75" i="13"/>
  <c r="L12" i="18" l="1"/>
  <c r="G15" i="25" s="1"/>
  <c r="F11" i="25"/>
  <c r="F12" i="25" s="1"/>
  <c r="F13" i="25" s="1"/>
  <c r="F17" i="25" s="1"/>
  <c r="L79" i="16"/>
  <c r="M18" i="18"/>
  <c r="H16" i="25"/>
  <c r="L35" i="13"/>
  <c r="K35" i="13"/>
  <c r="K18" i="24"/>
  <c r="K19" i="24"/>
  <c r="L18" i="24"/>
  <c r="L19" i="24"/>
  <c r="E75" i="13"/>
  <c r="E101" i="13"/>
  <c r="E76" i="13"/>
  <c r="F101" i="13"/>
  <c r="F76" i="13"/>
  <c r="F75" i="13"/>
  <c r="M12" i="18" l="1"/>
  <c r="H15" i="25" s="1"/>
  <c r="G11" i="25"/>
  <c r="G12" i="25" s="1"/>
  <c r="G13" i="25" s="1"/>
  <c r="G17" i="25" s="1"/>
  <c r="H11" i="25"/>
  <c r="H12" i="25" s="1"/>
  <c r="H13" i="25" s="1"/>
  <c r="C54" i="13"/>
  <c r="H17" i="25" l="1"/>
  <c r="D41" i="25"/>
  <c r="D42" i="25" s="1"/>
  <c r="D44" i="25" s="1"/>
  <c r="D26" i="25"/>
  <c r="D28" i="25" s="1"/>
  <c r="C19" i="25"/>
  <c r="C20" i="25"/>
  <c r="C94" i="13"/>
  <c r="C61" i="13"/>
  <c r="D22" i="25" l="1"/>
  <c r="D29" i="25" s="1"/>
  <c r="D31" i="25" s="1"/>
  <c r="D35" i="25" s="1"/>
  <c r="D37" i="25" s="1"/>
  <c r="K26" i="25" s="1"/>
  <c r="C68" i="13"/>
  <c r="C96" i="13"/>
  <c r="D45" i="25" l="1"/>
  <c r="D47" i="25" s="1"/>
  <c r="D51" i="25" s="1"/>
  <c r="D53" i="25" s="1"/>
  <c r="K41" i="25" s="1"/>
  <c r="E37" i="25"/>
  <c r="C75" i="13"/>
  <c r="C76" i="13"/>
  <c r="C101" i="13"/>
  <c r="B54" i="13"/>
  <c r="E53" i="25" l="1"/>
  <c r="B94" i="13"/>
  <c r="B61" i="13"/>
  <c r="B68" i="13" l="1"/>
  <c r="B96" i="13"/>
  <c r="B101" i="13" l="1"/>
  <c r="B75" i="13"/>
  <c r="B76" i="13"/>
  <c r="G54" i="13"/>
  <c r="G94" i="13" l="1"/>
  <c r="H94" i="13" s="1"/>
  <c r="G61" i="13"/>
  <c r="G7" i="36" s="1"/>
  <c r="G12" i="36" l="1"/>
  <c r="G18" i="36"/>
  <c r="G96" i="13"/>
  <c r="H96" i="13" s="1"/>
  <c r="G68" i="13"/>
  <c r="G101" i="13" l="1"/>
  <c r="H101" i="13" s="1"/>
  <c r="G75" i="13"/>
  <c r="G76" i="13"/>
  <c r="I22" i="18"/>
  <c r="I8" i="20"/>
  <c r="I10" i="20" s="1"/>
  <c r="H38" i="16" s="1"/>
  <c r="H39" i="16" s="1"/>
  <c r="H43" i="16" s="1"/>
  <c r="H45" i="16" s="1"/>
  <c r="J5" i="20" l="1"/>
  <c r="J13" i="20" s="1"/>
  <c r="J8" i="20"/>
  <c r="I14" i="20"/>
  <c r="H43" i="13" s="1"/>
  <c r="H54" i="13" s="1"/>
  <c r="J10" i="20"/>
  <c r="I38" i="16" s="1"/>
  <c r="I39" i="16" s="1"/>
  <c r="I43" i="16" s="1"/>
  <c r="I45" i="16" s="1"/>
  <c r="K5" i="20"/>
  <c r="J14" i="20"/>
  <c r="I43" i="13" s="1"/>
  <c r="I11" i="18" l="1"/>
  <c r="I24" i="18" s="1"/>
  <c r="J11" i="18"/>
  <c r="J24" i="18" s="1"/>
  <c r="I54" i="13"/>
  <c r="K8" i="20"/>
  <c r="K13" i="20"/>
  <c r="H58" i="13"/>
  <c r="H61" i="13" s="1"/>
  <c r="I8" i="18" l="1"/>
  <c r="I13" i="18" s="1"/>
  <c r="H65" i="13"/>
  <c r="H56" i="16" s="1"/>
  <c r="K10" i="20"/>
  <c r="J38" i="16" s="1"/>
  <c r="J39" i="16" s="1"/>
  <c r="J43" i="16" s="1"/>
  <c r="J45" i="16" s="1"/>
  <c r="L5" i="20"/>
  <c r="I58" i="13"/>
  <c r="I61" i="13" s="1"/>
  <c r="K14" i="20"/>
  <c r="J43" i="13" s="1"/>
  <c r="H68" i="13" l="1"/>
  <c r="K11" i="18"/>
  <c r="K24" i="18" s="1"/>
  <c r="J54" i="13"/>
  <c r="I65" i="13"/>
  <c r="I68" i="13" s="1"/>
  <c r="I70" i="13" s="1"/>
  <c r="J21" i="18" s="1"/>
  <c r="J25" i="18" s="1"/>
  <c r="J8" i="18"/>
  <c r="J13" i="18" s="1"/>
  <c r="H70" i="13"/>
  <c r="I21" i="18" s="1"/>
  <c r="I25" i="18" s="1"/>
  <c r="I27" i="18" s="1"/>
  <c r="I29" i="18" s="1"/>
  <c r="L13" i="20"/>
  <c r="L8" i="20"/>
  <c r="I56" i="16" l="1"/>
  <c r="J28" i="18"/>
  <c r="H6" i="16"/>
  <c r="H12" i="16" s="1"/>
  <c r="J27" i="18"/>
  <c r="J29" i="18" s="1"/>
  <c r="J58" i="13"/>
  <c r="J61" i="13" s="1"/>
  <c r="M5" i="20"/>
  <c r="L10" i="20"/>
  <c r="K38" i="16" s="1"/>
  <c r="K39" i="16" s="1"/>
  <c r="K43" i="16" s="1"/>
  <c r="K45" i="16" s="1"/>
  <c r="L14" i="20"/>
  <c r="K43" i="13" s="1"/>
  <c r="H53" i="16"/>
  <c r="K8" i="18" l="1"/>
  <c r="K13" i="18" s="1"/>
  <c r="J65" i="13"/>
  <c r="J56" i="16" s="1"/>
  <c r="H55" i="16"/>
  <c r="H58" i="16" s="1"/>
  <c r="I53" i="16"/>
  <c r="H24" i="16"/>
  <c r="D5" i="26"/>
  <c r="D8" i="26" s="1"/>
  <c r="K54" i="13"/>
  <c r="L11" i="18"/>
  <c r="L24" i="18" s="1"/>
  <c r="K28" i="18"/>
  <c r="I6" i="16"/>
  <c r="I12" i="16" s="1"/>
  <c r="M13" i="20"/>
  <c r="M8" i="20"/>
  <c r="M10" i="20" s="1"/>
  <c r="L38" i="16" s="1"/>
  <c r="L39" i="16" s="1"/>
  <c r="L43" i="16" s="1"/>
  <c r="L45" i="16" s="1"/>
  <c r="M14" i="20" l="1"/>
  <c r="L43" i="13" s="1"/>
  <c r="M11" i="18" s="1"/>
  <c r="M24" i="18" s="1"/>
  <c r="E5" i="26"/>
  <c r="E8" i="26" s="1"/>
  <c r="I24" i="16"/>
  <c r="I55" i="16"/>
  <c r="I58" i="16" s="1"/>
  <c r="J68" i="13"/>
  <c r="J70" i="13" s="1"/>
  <c r="K21" i="18" s="1"/>
  <c r="K25" i="18" s="1"/>
  <c r="K27" i="18" s="1"/>
  <c r="K29" i="18" s="1"/>
  <c r="P20" i="20"/>
  <c r="K58" i="13"/>
  <c r="K61" i="13" s="1"/>
  <c r="P21" i="20"/>
  <c r="P19" i="20" s="1"/>
  <c r="P24" i="20" s="1"/>
  <c r="H60" i="16"/>
  <c r="H62" i="16" s="1"/>
  <c r="L54" i="13" l="1"/>
  <c r="K65" i="13"/>
  <c r="K56" i="16" s="1"/>
  <c r="L8" i="18"/>
  <c r="L13" i="18" s="1"/>
  <c r="J6" i="16"/>
  <c r="J12" i="16" s="1"/>
  <c r="L28" i="18"/>
  <c r="L58" i="13"/>
  <c r="L61" i="13" s="1"/>
  <c r="Q20" i="20"/>
  <c r="Q21" i="20"/>
  <c r="Q19" i="20" s="1"/>
  <c r="Q24" i="20" s="1"/>
  <c r="I60" i="16"/>
  <c r="I62" i="16" s="1"/>
  <c r="J53" i="16"/>
  <c r="K68" i="13" l="1"/>
  <c r="K70" i="13" s="1"/>
  <c r="L21" i="18" s="1"/>
  <c r="L25" i="18" s="1"/>
  <c r="L27" i="18" s="1"/>
  <c r="L29" i="18" s="1"/>
  <c r="J24" i="16"/>
  <c r="F5" i="26"/>
  <c r="F8" i="26" s="1"/>
  <c r="J55" i="16"/>
  <c r="J58" i="16" s="1"/>
  <c r="K53" i="16"/>
  <c r="M8" i="18"/>
  <c r="M13" i="18" s="1"/>
  <c r="L65" i="13"/>
  <c r="L56" i="16" s="1"/>
  <c r="R21" i="20" l="1"/>
  <c r="R19" i="20" s="1"/>
  <c r="R24" i="20" s="1"/>
  <c r="J60" i="16"/>
  <c r="J62" i="16" s="1"/>
  <c r="M28" i="18"/>
  <c r="K6" i="16"/>
  <c r="K12" i="16" s="1"/>
  <c r="L68" i="13"/>
  <c r="L70" i="13" s="1"/>
  <c r="M21" i="18" s="1"/>
  <c r="M25" i="18" s="1"/>
  <c r="M27" i="18" s="1"/>
  <c r="K55" i="16"/>
  <c r="K58" i="16" s="1"/>
  <c r="R20" i="20"/>
  <c r="L53" i="16" l="1"/>
  <c r="L55" i="16" s="1"/>
  <c r="L58" i="16" s="1"/>
  <c r="T21" i="20" s="1"/>
  <c r="T19" i="20" s="1"/>
  <c r="T24" i="20" s="1"/>
  <c r="M29" i="18"/>
  <c r="L6" i="16" s="1"/>
  <c r="L12" i="16" s="1"/>
  <c r="L24" i="16" s="1"/>
  <c r="T20" i="20" s="1"/>
  <c r="G5" i="26"/>
  <c r="G8" i="26" s="1"/>
  <c r="K24" i="16"/>
  <c r="S21" i="20"/>
  <c r="S19" i="20" s="1"/>
  <c r="S24" i="20" s="1"/>
  <c r="K60" i="16"/>
  <c r="L60" i="16" l="1"/>
  <c r="L62" i="16" s="1"/>
  <c r="S20" i="20"/>
  <c r="K62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karan babani</author>
  </authors>
  <commentList>
    <comment ref="C7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karan babani:</t>
        </r>
        <r>
          <rPr>
            <sz val="9"/>
            <color indexed="81"/>
            <rFont val="Tahoma"/>
            <family val="2"/>
          </rPr>
          <t xml:space="preserve">
market screener</t>
        </r>
      </text>
    </comment>
    <comment ref="H7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karan babani:</t>
        </r>
        <r>
          <rPr>
            <sz val="9"/>
            <color indexed="81"/>
            <rFont val="Tahoma"/>
            <family val="2"/>
          </rPr>
          <t xml:space="preserve">
https://investor.gm.com/static-files/eb25e59c-1ee2-4c86-b987-d0e64fdfd963</t>
        </r>
      </text>
    </comment>
    <comment ref="C8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karan babani:</t>
        </r>
        <r>
          <rPr>
            <sz val="9"/>
            <color indexed="81"/>
            <rFont val="Tahoma"/>
            <family val="2"/>
          </rPr>
          <t xml:space="preserve">
Marketscreener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karan babani</author>
  </authors>
  <commentList>
    <comment ref="E15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karan babani:</t>
        </r>
        <r>
          <rPr>
            <sz val="9"/>
            <color indexed="81"/>
            <rFont val="Tahoma"/>
            <family val="2"/>
          </rPr>
          <t xml:space="preserve">
https://d18rn0p25nwr6d.cloudfront.net/CIK-0000037996/36cee874-3415-4088-a03e-8f255a43cd89.pdf</t>
        </r>
      </text>
    </comment>
  </commentList>
</comments>
</file>

<file path=xl/sharedStrings.xml><?xml version="1.0" encoding="utf-8"?>
<sst xmlns="http://schemas.openxmlformats.org/spreadsheetml/2006/main" count="1073" uniqueCount="624">
  <si>
    <t>THE COCA-COLA COMPANY</t>
  </si>
  <si>
    <t>(in USD millions)</t>
  </si>
  <si>
    <t>Valuation Date</t>
  </si>
  <si>
    <t>Segment Information</t>
  </si>
  <si>
    <t>12 months</t>
  </si>
  <si>
    <t>Dec. 31, 2019</t>
  </si>
  <si>
    <t>Dec. 31, 2020</t>
  </si>
  <si>
    <t>Dec. 31, 2021</t>
  </si>
  <si>
    <t>Dec. 31, 2022</t>
  </si>
  <si>
    <t>Dec. 31, 2023</t>
  </si>
  <si>
    <t>Dec. 31, 2024</t>
  </si>
  <si>
    <t>Dec. 31, 2025</t>
  </si>
  <si>
    <t>Dec. 31, 2026</t>
  </si>
  <si>
    <t>Dec. 31, 2027</t>
  </si>
  <si>
    <t>Dec. 31, 2028</t>
  </si>
  <si>
    <t>Corporate</t>
  </si>
  <si>
    <t>Total revenue excluding Elimitations</t>
  </si>
  <si>
    <t>Eliminations</t>
  </si>
  <si>
    <t>As % of total revenue</t>
  </si>
  <si>
    <t>Total Division</t>
  </si>
  <si>
    <t>(in USD million except per Share Data)</t>
  </si>
  <si>
    <t>Income Statement</t>
  </si>
  <si>
    <t>Net Operating Revenues - Reported</t>
  </si>
  <si>
    <t>Cost of Goods and Services Sold - Reported</t>
  </si>
  <si>
    <t>Impact of Special Items</t>
  </si>
  <si>
    <t>Selling, General and Administrative Expense - Reported</t>
  </si>
  <si>
    <t>Amortisation</t>
  </si>
  <si>
    <t>Other Cost and Expense, Operating - Reported</t>
  </si>
  <si>
    <t>Interest Expense-Reported</t>
  </si>
  <si>
    <t>Equity income (loss) - net Reported</t>
  </si>
  <si>
    <t>Equity Investees</t>
  </si>
  <si>
    <t>Other income (loss) - net Reported</t>
  </si>
  <si>
    <t xml:space="preserve">Income Tax Expense-Reported </t>
  </si>
  <si>
    <t xml:space="preserve">Net Income-Normalised </t>
  </si>
  <si>
    <t xml:space="preserve">Share of noncontrolling interests-Reported </t>
  </si>
  <si>
    <t>Average Shares Outstanding( Assuming Dilution)</t>
  </si>
  <si>
    <t>Share-based Compensation Expenses</t>
  </si>
  <si>
    <t>Source</t>
  </si>
  <si>
    <t>Current Assets</t>
  </si>
  <si>
    <t>Total Assets</t>
  </si>
  <si>
    <t>Current Liabilities</t>
  </si>
  <si>
    <t>Total Equity</t>
  </si>
  <si>
    <t>Other Items (affecting Comparability)</t>
  </si>
  <si>
    <t>Dec. 31, 2029</t>
  </si>
  <si>
    <t>Adjusted Net Operating Revenue</t>
  </si>
  <si>
    <t>Adjusted COGS</t>
  </si>
  <si>
    <t>Adjusted SG&amp;A</t>
  </si>
  <si>
    <t>Adjusted Other Operating Expenses</t>
  </si>
  <si>
    <t>Adjusted Interest Expense</t>
  </si>
  <si>
    <t>Adjusted Equity Income (loss)</t>
  </si>
  <si>
    <t>Adjusted Other Income (loss)</t>
  </si>
  <si>
    <t>Adjusted Tax</t>
  </si>
  <si>
    <t>Segmental Net Operating Revenue (GAAP - Reported)</t>
  </si>
  <si>
    <t>Information</t>
  </si>
  <si>
    <t>Organic Growth % (non-GAAP)</t>
  </si>
  <si>
    <t>Stock Based Compensation Expense</t>
  </si>
  <si>
    <t>Total Depreciation &amp; Amortization (from CFS)</t>
  </si>
  <si>
    <t>Amortization (from Note-7, 10K)</t>
  </si>
  <si>
    <t xml:space="preserve">Corporate Depreciation </t>
  </si>
  <si>
    <t>Depreciation (Operating Segments)</t>
  </si>
  <si>
    <t>Corporate Dep. &amp; Amort. (Note - Operating Segments )</t>
  </si>
  <si>
    <t>Amortization as % of Total D&amp;A</t>
  </si>
  <si>
    <t>Corporate Depreciation as % of Total D&amp;A</t>
  </si>
  <si>
    <t>Depreciation (Operating Segments) as % of Total D&amp;A</t>
  </si>
  <si>
    <t>Net Operating Revenues - Normalised/Adjusted</t>
  </si>
  <si>
    <t>Adjusted Profit Attributable to NCI</t>
  </si>
  <si>
    <t>Cost of Goods and Services Sold - Normalised/Adjusted</t>
  </si>
  <si>
    <t>Gross Profit - Normalised/Adjusted</t>
  </si>
  <si>
    <t>Cost of Goods and Services Sold - Normalized (after removing Dep.)</t>
  </si>
  <si>
    <t>Corporate Depreciation</t>
  </si>
  <si>
    <t>Total Depreciation &amp; Amortization Expense</t>
  </si>
  <si>
    <t>Adjusted Interest Income</t>
  </si>
  <si>
    <t>Interest Income-Reported</t>
  </si>
  <si>
    <t>Average Shares Outstanding(Basic)</t>
  </si>
  <si>
    <t>Basic EPS (Normalized)</t>
  </si>
  <si>
    <t>Diluted EPS (Normalized)</t>
  </si>
  <si>
    <t>Equity Dividend</t>
  </si>
  <si>
    <t xml:space="preserve">Equity Dividend </t>
  </si>
  <si>
    <t>BALANCE SHEET ITEMS</t>
  </si>
  <si>
    <t>Items as % of Net Operating Income (Normalized)</t>
  </si>
  <si>
    <t>Weighted Average Interest Rate</t>
  </si>
  <si>
    <t>Calculation of Average Interest Rate</t>
  </si>
  <si>
    <t xml:space="preserve">Maturities of Long-Term Debt </t>
  </si>
  <si>
    <t>Total Liabilities</t>
  </si>
  <si>
    <t>Gross Profit - Reported</t>
  </si>
  <si>
    <t>Operating Income (EBIT) - Reported</t>
  </si>
  <si>
    <t>Selling, General and Administrative Expense - Normalised/Adjusted</t>
  </si>
  <si>
    <t>Selling, General &amp; Admin - Normalized/Adjusted (Excluding Corp. Dep. &amp; Amort.)</t>
  </si>
  <si>
    <t>Other Cost and Expense, Operating - Normalised/Adjusted</t>
  </si>
  <si>
    <t xml:space="preserve">EBITDA - Normalized/Adjusted </t>
  </si>
  <si>
    <t>Operating Income (EBIT) - Normalised/Adjusted</t>
  </si>
  <si>
    <t>Interest Income - Normalised/Adjusted</t>
  </si>
  <si>
    <t>Interest expense - Normalised/Adjusted</t>
  </si>
  <si>
    <t>Equity income (loss)-net Normalised/Adjusted</t>
  </si>
  <si>
    <t>Other income (loss) - net Normalised/Adjusted</t>
  </si>
  <si>
    <t>EBT- Normalised/Adjusted</t>
  </si>
  <si>
    <t>EBT- Reported</t>
  </si>
  <si>
    <t>Income Tax Expense-Normalised/Adjusted</t>
  </si>
  <si>
    <t>Share of noncontrolling interests-Normalised/Adjusted</t>
  </si>
  <si>
    <t>Cost of Goods &amp; Services Sold - Normalized/Adjusted (Other than Dep. Exp)</t>
  </si>
  <si>
    <t>Selling, General &amp; Admin Exp. - Normalized/Adjusted (Excl. Corp. Dep &amp; Amort)</t>
  </si>
  <si>
    <t>Share of Non-Controlling Int. - Norm./Adj. (%age of NI - Normalized/Adjusted)</t>
  </si>
  <si>
    <t>Net Income Margin (%)-Normalised/Adjusted</t>
  </si>
  <si>
    <t>EBIT Margin (%)-Normalised/Adjusted</t>
  </si>
  <si>
    <t>EBITDA Margin (%)-Normalised/Adjusted</t>
  </si>
  <si>
    <t>Gross Profit Margin (%)-Normalised/Adjusted</t>
  </si>
  <si>
    <t>Sales Growth (%)-Normalised/Adjusted</t>
  </si>
  <si>
    <t>Share-based Compensation as %age of SG&amp;A - Normalized/Adjusted</t>
  </si>
  <si>
    <t>INCOME STATEMENT ITEMS</t>
  </si>
  <si>
    <t xml:space="preserve">SEGMENT REVENUE </t>
  </si>
  <si>
    <t>Reported Numbers from Inc. Statement (GAAP)</t>
  </si>
  <si>
    <t>Comparable Numbers for Adj. Inc. Statement (non-GAAP)</t>
  </si>
  <si>
    <t>FEW CASHFLOW STATEMENT ITEMS</t>
  </si>
  <si>
    <t>Reported Y-o-Y Growth % (GAAP)</t>
  </si>
  <si>
    <t>Net Income-Reported</t>
  </si>
  <si>
    <t>Net Income attributable to Shareholders Margin (%)-Normalised/Adjusted</t>
  </si>
  <si>
    <t>Profitability Ratios (Annual Basis)</t>
  </si>
  <si>
    <t>Non-Op Incomes (Intt Inc + Equity Inc + Other Inc) as % of Net Op Revenue</t>
  </si>
  <si>
    <t>Tax Rate - Normalised (%age of EBT - Normalized)</t>
  </si>
  <si>
    <t>Dividend Payout Ratio (ie., Dividend / NI attributable to Shareholders-Normalized)</t>
  </si>
  <si>
    <t xml:space="preserve">page 53 </t>
  </si>
  <si>
    <t>https://investor.gm.com/node/24516/html#i54c9b176c0804fcabe51d5f8101e6190_103</t>
  </si>
  <si>
    <t>$</t>
  </si>
  <si>
    <t>Marketable debt securities (Note 4)</t>
  </si>
  <si>
    <t>Inventories (Note 6)</t>
  </si>
  <si>
    <t>Total current assets</t>
  </si>
  <si>
    <t>Non-current Assets</t>
  </si>
  <si>
    <t>Equity in net assets of nonconsolidated affiliates (Note 8)</t>
  </si>
  <si>
    <t>Property, net (Note 9)</t>
  </si>
  <si>
    <t>Goodwill and intangible assets, net (Note 10)</t>
  </si>
  <si>
    <t>Deferred income taxes (Note 17)</t>
  </si>
  <si>
    <t>Total non-current assets</t>
  </si>
  <si>
    <t>Cash and cash equivalents (Note 4)</t>
  </si>
  <si>
    <t>18,853 </t>
  </si>
  <si>
    <t>7,613 </t>
  </si>
  <si>
    <t>Accounts and notes receivable, net of allowance of $313 and $298</t>
  </si>
  <si>
    <t>12,378 </t>
  </si>
  <si>
    <t>GM Financial receivables, net of allowance of $991 and $906 (Note 5; Note 11)</t>
  </si>
  <si>
    <t>39,076 </t>
  </si>
  <si>
    <t>16,461 </t>
  </si>
  <si>
    <t>Other current assets (Note 4; Note 11)</t>
  </si>
  <si>
    <t>7,238 </t>
  </si>
  <si>
    <t>101,618 </t>
  </si>
  <si>
    <t>GM Financial receivables, net of allowance of $1,467 and $1,438 (Note 5; Note 11)</t>
  </si>
  <si>
    <t>45,043 </t>
  </si>
  <si>
    <t>10,613 </t>
  </si>
  <si>
    <t>50,321 </t>
  </si>
  <si>
    <t>4,862 </t>
  </si>
  <si>
    <t>Equipment on operating leases, net (Note 7; Note 11)</t>
  </si>
  <si>
    <t>30,582 </t>
  </si>
  <si>
    <t>22,339 </t>
  </si>
  <si>
    <t>Other assets (Note 4; Note 11)</t>
  </si>
  <si>
    <t>7,686 </t>
  </si>
  <si>
    <t>171,446 </t>
  </si>
  <si>
    <t>273,064 </t>
  </si>
  <si>
    <t>LIABILITIES AND EQUITY</t>
  </si>
  <si>
    <t>Accounts payable (principally trade)</t>
  </si>
  <si>
    <t>28,114 </t>
  </si>
  <si>
    <t>Short-term debt and current portion of long-term debt (Note 13)</t>
  </si>
  <si>
    <t>Automotive</t>
  </si>
  <si>
    <t>GM Financial (Note 11)</t>
  </si>
  <si>
    <t>Accrued liabilities (Note 12)</t>
  </si>
  <si>
    <t>Total current liabilities</t>
  </si>
  <si>
    <t>Non-current Liabilities</t>
  </si>
  <si>
    <t>Long-term debt (Note 13)</t>
  </si>
  <si>
    <t>Postretirement benefits other than pensions (Note 15)</t>
  </si>
  <si>
    <t>Pensions (Note 15)</t>
  </si>
  <si>
    <t>Other liabilities (Note 12)</t>
  </si>
  <si>
    <t>Total non-current liabilities</t>
  </si>
  <si>
    <t>Commitments and contingencies (Note 16)</t>
  </si>
  <si>
    <t>Noncontrolling interest - Cruise stock incentive awards (Note 20)</t>
  </si>
  <si>
    <t>Additional paid-in capital</t>
  </si>
  <si>
    <t>Retained earnings</t>
  </si>
  <si>
    <t>Accumulated other comprehensive loss</t>
  </si>
  <si>
    <t>Total stockholders’ equity</t>
  </si>
  <si>
    <t>Noncontrolling interests</t>
  </si>
  <si>
    <t>Assets</t>
  </si>
  <si>
    <r>
      <t>Common stock, $</t>
    </r>
    <r>
      <rPr>
        <sz val="11"/>
        <color theme="1"/>
        <rFont val="Calibri"/>
        <family val="2"/>
        <scheme val="minor"/>
      </rPr>
      <t>0.01</t>
    </r>
    <r>
      <rPr>
        <sz val="9"/>
        <color rgb="FF000000"/>
        <rFont val="Times New Roman"/>
        <family val="1"/>
      </rPr>
      <t> par value</t>
    </r>
  </si>
  <si>
    <t>The General Motor Shareholders' Equity</t>
  </si>
  <si>
    <t>GM Financial</t>
  </si>
  <si>
    <t>Total net sales and revenue</t>
  </si>
  <si>
    <t>Costs and expenses</t>
  </si>
  <si>
    <t>GM Financial interest, operating and other expenses</t>
  </si>
  <si>
    <t>Automotive and other selling, general and administrative expense</t>
  </si>
  <si>
    <t>Total costs and expenses</t>
  </si>
  <si>
    <t>Operating income (loss)</t>
  </si>
  <si>
    <t>Automotive interest expense</t>
  </si>
  <si>
    <t>Interest income and other non-operating income, net (Note 19)</t>
  </si>
  <si>
    <t>Equity income (loss) (Note 8)</t>
  </si>
  <si>
    <t>Income (loss) before income taxes</t>
  </si>
  <si>
    <t>Income tax expense (benefit) (Note 17)</t>
  </si>
  <si>
    <t>Net income (loss)</t>
  </si>
  <si>
    <t>Net loss (income) attributable to noncontrolling interests</t>
  </si>
  <si>
    <t>Net income (loss) attributable to stockholders</t>
  </si>
  <si>
    <t>Net income (loss) attributable to common stockholders</t>
  </si>
  <si>
    <t>Page 61 10k 2023</t>
  </si>
  <si>
    <t>Page 57 10K 2022</t>
  </si>
  <si>
    <t>Total Liabilities and Equit</t>
  </si>
  <si>
    <t>matching balance sheet</t>
  </si>
  <si>
    <t>BETA CALCULATION</t>
  </si>
  <si>
    <t>Competitors</t>
  </si>
  <si>
    <t>Beta</t>
  </si>
  <si>
    <t>Market Cap</t>
  </si>
  <si>
    <t>R sq</t>
  </si>
  <si>
    <t xml:space="preserve">R-Square = Statistical measure which how much the deviation in the dependent variable can be explained by the </t>
  </si>
  <si>
    <t>change= (current/previous)-1</t>
  </si>
  <si>
    <t>Source : marketscreener.com</t>
  </si>
  <si>
    <t>S&amp;P 500</t>
  </si>
  <si>
    <t>Date</t>
  </si>
  <si>
    <t>Adj Close</t>
  </si>
  <si>
    <t>% Change</t>
  </si>
  <si>
    <t>General Motors</t>
  </si>
  <si>
    <t>GMNA</t>
  </si>
  <si>
    <t>GMI</t>
  </si>
  <si>
    <t>Cruise</t>
  </si>
  <si>
    <t>Balance Sheet</t>
  </si>
  <si>
    <t>Tesla</t>
  </si>
  <si>
    <t>Ford Motors</t>
  </si>
  <si>
    <t>Li</t>
  </si>
  <si>
    <t>Li auto</t>
  </si>
  <si>
    <t xml:space="preserve">Cost of equity </t>
  </si>
  <si>
    <t xml:space="preserve">Cost of debt </t>
  </si>
  <si>
    <t>Weighted average cost of capital</t>
  </si>
  <si>
    <t>Particulars</t>
  </si>
  <si>
    <t>Notes</t>
  </si>
  <si>
    <t>Value</t>
  </si>
  <si>
    <t>Weight</t>
  </si>
  <si>
    <t>Cost</t>
  </si>
  <si>
    <t xml:space="preserve">Risk-free rate (%) </t>
  </si>
  <si>
    <t>10 year Treasury rate</t>
  </si>
  <si>
    <t>Debt borrowing rate (%)</t>
  </si>
  <si>
    <t>Debt (%)</t>
  </si>
  <si>
    <t>Cost of debt (%)</t>
  </si>
  <si>
    <t>Expected income tax rate (%)</t>
  </si>
  <si>
    <t>Equity (%)</t>
  </si>
  <si>
    <t>Cost of equity (%)</t>
  </si>
  <si>
    <t xml:space="preserve">Equity market risk premium (%) </t>
  </si>
  <si>
    <t>After-tax cost of debt (%)</t>
  </si>
  <si>
    <t>WACC</t>
  </si>
  <si>
    <t>Cost of equity capital (%)</t>
  </si>
  <si>
    <t>Calculation of Bottom-Up Beta</t>
  </si>
  <si>
    <t>Unlevered beta= Levered beta/(1+(1-tax rate)(debt/equity)</t>
  </si>
  <si>
    <t>Levered beta</t>
  </si>
  <si>
    <t>Average 
Debt</t>
  </si>
  <si>
    <t xml:space="preserve">Avg Debt/(Avg Debt + Avg Equity) 
</t>
  </si>
  <si>
    <t>Average Equity (Mkt. Cap)</t>
  </si>
  <si>
    <t xml:space="preserve">Avg Equity/(Avg Debt + Avg Equity) 
</t>
  </si>
  <si>
    <t>Average Debt / Average Equity</t>
  </si>
  <si>
    <t>Unlevered beta</t>
  </si>
  <si>
    <t>Relevered beta</t>
  </si>
  <si>
    <t>releverd beta = Avg Unleavered beta*(1+(1-tax rate)(d/e))</t>
  </si>
  <si>
    <t>Industry Average</t>
  </si>
  <si>
    <t>Tax Rate</t>
  </si>
  <si>
    <t>Bottoms Up beta</t>
  </si>
  <si>
    <t>Regression beta</t>
  </si>
  <si>
    <t>(DATA FROM MARKETSCREENER)</t>
  </si>
  <si>
    <t>Calculation of Capital Structure of Peer Group Companies</t>
  </si>
  <si>
    <t>Total Debt (in $ million)</t>
  </si>
  <si>
    <t>Equity</t>
  </si>
  <si>
    <t>Share Price (in $)</t>
  </si>
  <si>
    <t>Shares O/S</t>
  </si>
  <si>
    <t>M.Cap</t>
  </si>
  <si>
    <t>Source -</t>
  </si>
  <si>
    <t>Total Debt and Shares O/S data taken from MarketScreener.com for Q3 2022, Q3 2023 &amp; Q3 2024
Share Price data taken for nearest date from Beta Sheet (investing.com)</t>
  </si>
  <si>
    <t>General Motor WACC Calculation</t>
  </si>
  <si>
    <t>Beta Calculation for Target Company - General Motor</t>
  </si>
  <si>
    <t>% Change Organic Revenues (non-GAAP)</t>
  </si>
  <si>
    <t>billion</t>
  </si>
  <si>
    <t>Relevering beta</t>
  </si>
  <si>
    <t>Ebit adjusted</t>
  </si>
  <si>
    <t>No data available</t>
  </si>
  <si>
    <t>Total COGS</t>
  </si>
  <si>
    <t>Automotive and other cost of sales</t>
  </si>
  <si>
    <t>Basic Number of Shares</t>
  </si>
  <si>
    <t>Diluted Number of Shares</t>
  </si>
  <si>
    <t>Special item</t>
  </si>
  <si>
    <t>Cash Flow Statement</t>
  </si>
  <si>
    <t>Cash From Operating Activities</t>
  </si>
  <si>
    <t>Net Income</t>
  </si>
  <si>
    <t>Depreciation and amortization</t>
  </si>
  <si>
    <t>Share-based compensation expense</t>
  </si>
  <si>
    <t>Interest Expense</t>
  </si>
  <si>
    <t>Minus Changes in NWC</t>
  </si>
  <si>
    <t>Net Cash Provided by Operating Activities</t>
  </si>
  <si>
    <t>Cash From Investing Activities</t>
  </si>
  <si>
    <t>Capital Expenditure</t>
  </si>
  <si>
    <t>Net Cash Used for Investing Activities</t>
  </si>
  <si>
    <t>Cash From Financing Activities</t>
  </si>
  <si>
    <t>Cash dividends paid</t>
  </si>
  <si>
    <t>Debt Raised</t>
  </si>
  <si>
    <t>Debt Repaid</t>
  </si>
  <si>
    <t>Net Cash Provided by/(Used for) Financing Activities</t>
  </si>
  <si>
    <t>Net Increase/(Decrease) in Cash and Cash Equivalents</t>
  </si>
  <si>
    <t xml:space="preserve">Cash and Cash Equivalents, Beginning of Year </t>
  </si>
  <si>
    <t>Cash and Cash Equivalents, End of Period</t>
  </si>
  <si>
    <t>General Motors Company</t>
  </si>
  <si>
    <t xml:space="preserve">Average Interest Rate </t>
  </si>
  <si>
    <t>Interest Expense (using avg of op &amp; cl)</t>
  </si>
  <si>
    <t>Interest Expense (using opening balance)</t>
  </si>
  <si>
    <t>Long term debt + ST  Debt</t>
  </si>
  <si>
    <t>Current portion of long term debt</t>
  </si>
  <si>
    <t>Closing Total Debt (STDebt+Current mat+LT debt)</t>
  </si>
  <si>
    <t>Add: debt raised</t>
  </si>
  <si>
    <t>Less: Mandatory Debt Repayments</t>
  </si>
  <si>
    <t>Opening Debt (STDebt+Current mat+LT debt)</t>
  </si>
  <si>
    <t>Debt Schedule</t>
  </si>
  <si>
    <t>Operating EV</t>
  </si>
  <si>
    <t>Working Capital</t>
  </si>
  <si>
    <t>Operating Current Assets</t>
  </si>
  <si>
    <t>Trade accounts receivable</t>
  </si>
  <si>
    <t>Receivable Days</t>
  </si>
  <si>
    <t>Inventories</t>
  </si>
  <si>
    <t>Inventory Days</t>
  </si>
  <si>
    <t>Prepaid expenses and other current assets</t>
  </si>
  <si>
    <t xml:space="preserve">%age of Normalized Revenue </t>
  </si>
  <si>
    <t>Operating Current Liabilities</t>
  </si>
  <si>
    <t>Payable Days</t>
  </si>
  <si>
    <t>Net Working Capital (Rec+Inv+Prepaid-Payables)</t>
  </si>
  <si>
    <t>Change in NWC</t>
  </si>
  <si>
    <t>GENERAL MOTOR COMPANY</t>
  </si>
  <si>
    <t>Property, Plant &amp; Equipment</t>
  </si>
  <si>
    <t>Opening Balance-WDV</t>
  </si>
  <si>
    <t>Add: Net Addition during the Period</t>
  </si>
  <si>
    <t>Total Depreciable Assets During the Year</t>
  </si>
  <si>
    <t>Less: Depreciation during the year</t>
  </si>
  <si>
    <t>Closing Balance-WDV</t>
  </si>
  <si>
    <t>PPE Turnover Ratio (Normalized Revenue/Total Depreciable Assets)</t>
  </si>
  <si>
    <t>Depreciation Rate (Total Dep/Total Depreciable Asset)</t>
  </si>
  <si>
    <t>Depreciation (Operational)</t>
  </si>
  <si>
    <t>Depreciation (Corporate)</t>
  </si>
  <si>
    <t>Total Depreciation</t>
  </si>
  <si>
    <t>% Dep. Operational</t>
  </si>
  <si>
    <t>% Dep. Corporate</t>
  </si>
  <si>
    <t>Amortizable Intangible Assets, net</t>
  </si>
  <si>
    <t>Total Amortizable Assets During the Year</t>
  </si>
  <si>
    <t>Less: Amortisation during the year</t>
  </si>
  <si>
    <t>Amortisation Rate</t>
  </si>
  <si>
    <t>THE General Motor COMPANY</t>
  </si>
  <si>
    <t>Latest Filing</t>
  </si>
  <si>
    <t>Choose Discounting, 1 for Full Year, 2 for Mid Year</t>
  </si>
  <si>
    <t>Date of cash flows (end-year)</t>
  </si>
  <si>
    <t>Date of cash flows (mid-year)</t>
  </si>
  <si>
    <t>EBIT</t>
  </si>
  <si>
    <t>NOPAT</t>
  </si>
  <si>
    <t>Add: Depreciation and amortisation</t>
  </si>
  <si>
    <t>Add/Less: (Increase)/ Decrease in net working capital</t>
  </si>
  <si>
    <t>Less: Capital expenditure</t>
  </si>
  <si>
    <t>Debt free cash flow (Free Cash Flows to Firm)</t>
  </si>
  <si>
    <t>Discount rate (%)</t>
  </si>
  <si>
    <t>NPV for Full Year Discounting</t>
  </si>
  <si>
    <t>NPV for Mid Year Discounting</t>
  </si>
  <si>
    <t>NPV for explicit period based of Discounting Method</t>
  </si>
  <si>
    <t>Terminal value</t>
  </si>
  <si>
    <t>Gordon growth</t>
  </si>
  <si>
    <t>SENSITIVITY ANALYSIS</t>
  </si>
  <si>
    <t>Long Term Growth Rate</t>
  </si>
  <si>
    <t>from us growth rate google statista</t>
  </si>
  <si>
    <t>Terminal Value</t>
  </si>
  <si>
    <t>LTGR</t>
  </si>
  <si>
    <t>Present Value of TV</t>
  </si>
  <si>
    <t>using pv fourmula</t>
  </si>
  <si>
    <t>DCF Value of Firm / Operating Business Enterprise Value</t>
  </si>
  <si>
    <t>Add: Non Operating Assets (LT Investment)</t>
  </si>
  <si>
    <t>Total Value of Firm</t>
  </si>
  <si>
    <t>Total EV</t>
  </si>
  <si>
    <t>Less: Gross Debt &amp; Debt Equivalents</t>
  </si>
  <si>
    <t>EV-Net Debt- Pref Captila-MI= Equity value</t>
  </si>
  <si>
    <t>Add: Cash &amp; Short term Non-Operating Asset (ST Investment)</t>
  </si>
  <si>
    <t>Net Debt =Total Debt-(Cash &amp; Short term investment)</t>
  </si>
  <si>
    <t>Less: Non Controling Interest</t>
  </si>
  <si>
    <t>Ev-(-Debt-cash &amp;STI)-Pref Cap - MI =Equity value</t>
  </si>
  <si>
    <t>DCF value of Common Equity</t>
  </si>
  <si>
    <t>Ev+Debt+cash &amp;STI-Pref Cap - MI =Equity value</t>
  </si>
  <si>
    <t xml:space="preserve">No. of diluted shares </t>
  </si>
  <si>
    <t>DCF value per share</t>
  </si>
  <si>
    <t>Exit Multiple Method</t>
  </si>
  <si>
    <t>LTM EV/EBITDA</t>
  </si>
  <si>
    <t>Terminal Year EBITDA</t>
  </si>
  <si>
    <t>Exit Multiple</t>
  </si>
  <si>
    <t>Add: Non Operating Assets</t>
  </si>
  <si>
    <t>Add: Cash</t>
  </si>
  <si>
    <t>Mid year discounting</t>
  </si>
  <si>
    <t>Year end discounting</t>
  </si>
  <si>
    <t xml:space="preserve">check </t>
  </si>
  <si>
    <t>Automotive Long term Debt</t>
  </si>
  <si>
    <t>GM Financial (Note 11) Long term Debt</t>
  </si>
  <si>
    <t>Total Long Term Debt</t>
  </si>
  <si>
    <t>Current Ration</t>
  </si>
  <si>
    <t>Current Asste/Current Liability</t>
  </si>
  <si>
    <t>Current Asset</t>
  </si>
  <si>
    <t>Current Liability</t>
  </si>
  <si>
    <t>Quick Ratio</t>
  </si>
  <si>
    <t>(Current Asset - Invetory)/Current Liability</t>
  </si>
  <si>
    <t>Inventory</t>
  </si>
  <si>
    <t>(Note: The numbers are taken from DCF, Trading comps and Transaction Comps final outputs)</t>
  </si>
  <si>
    <t>Range</t>
  </si>
  <si>
    <t>Price range</t>
  </si>
  <si>
    <t>Method</t>
  </si>
  <si>
    <t>Applicability</t>
  </si>
  <si>
    <t>Metrics</t>
  </si>
  <si>
    <t>Lower</t>
  </si>
  <si>
    <t>Higher</t>
  </si>
  <si>
    <t xml:space="preserve">Public </t>
  </si>
  <si>
    <t>Private</t>
  </si>
  <si>
    <t>ABSOLUTE VALUATION</t>
  </si>
  <si>
    <t>DCF</t>
  </si>
  <si>
    <t>Yes</t>
  </si>
  <si>
    <t>DCF Valuation - Perpetual Growth</t>
  </si>
  <si>
    <t>CCA</t>
  </si>
  <si>
    <t>DCF Valuation - Exit Multiple</t>
  </si>
  <si>
    <t>CTA - Multiple Based Valuation</t>
  </si>
  <si>
    <t>CTA - Premium Based Valuation</t>
  </si>
  <si>
    <t>No</t>
  </si>
  <si>
    <t>RELATIVE VALUATION</t>
  </si>
  <si>
    <t>Market Consensus</t>
  </si>
  <si>
    <t>TRADING COMPS (CCA)</t>
  </si>
  <si>
    <t>52 week range</t>
  </si>
  <si>
    <t>Trading Comps EV/EBITDA</t>
  </si>
  <si>
    <t>Trading Comps EV/EBIT</t>
  </si>
  <si>
    <t>Trading Comps EV/Sales</t>
  </si>
  <si>
    <t>Trading Comps P/E</t>
  </si>
  <si>
    <t>changed it to 10%</t>
  </si>
  <si>
    <t>TRANSACTION COMPS (CTA)</t>
  </si>
  <si>
    <t>Transaction Comps (EV/EBITDA Multiple)</t>
  </si>
  <si>
    <t>Transaction Comps (EV/EBIT Multiple)</t>
  </si>
  <si>
    <t>Transaction Comps (Premium Based)</t>
  </si>
  <si>
    <t>Source Yahoo Finance</t>
  </si>
  <si>
    <t xml:space="preserve">Current Market Price </t>
  </si>
  <si>
    <t>(or On Valuation Date)</t>
  </si>
  <si>
    <t>The General Motor Company</t>
  </si>
  <si>
    <t>Basic Details</t>
  </si>
  <si>
    <t>Analyst Name</t>
  </si>
  <si>
    <t>Yash Babani</t>
  </si>
  <si>
    <t>Updation Date</t>
  </si>
  <si>
    <t>Ticker</t>
  </si>
  <si>
    <t>Latest Annual</t>
  </si>
  <si>
    <t>Latest Quarter</t>
  </si>
  <si>
    <t>Reported Currency</t>
  </si>
  <si>
    <t>USD</t>
  </si>
  <si>
    <t>Enterprise Value</t>
  </si>
  <si>
    <t>Class A</t>
  </si>
  <si>
    <t>Class B</t>
  </si>
  <si>
    <t>Class C</t>
  </si>
  <si>
    <t>Per Share Price</t>
  </si>
  <si>
    <t>Shares Outstanding Basic</t>
  </si>
  <si>
    <t>Shares Outstanding Diluted</t>
  </si>
  <si>
    <t>Minority Interest</t>
  </si>
  <si>
    <t>+ Pref. Share Capital</t>
  </si>
  <si>
    <t>Total Pref. Capital (Other Than Convertible) in Balance Sheet</t>
  </si>
  <si>
    <t>Add: Convertible Pref Not Converted to Common Equity</t>
  </si>
  <si>
    <t>+ Debt</t>
  </si>
  <si>
    <t>: Total Debt (Other Than Convertible) Reported in B/S</t>
  </si>
  <si>
    <t>Add: Convertible Debt not Converted to Common Equity</t>
  </si>
  <si>
    <t>+ Debt Equivalents</t>
  </si>
  <si>
    <t>Unfunded Pension Obligations</t>
  </si>
  <si>
    <t>- Cash &amp; Cash Equivalents</t>
  </si>
  <si>
    <t>Total Enterprise Value</t>
  </si>
  <si>
    <t>XNPV</t>
  </si>
  <si>
    <t>Non Operating Assets</t>
  </si>
  <si>
    <t>Weighted Average Share Price of All Classes of Share</t>
  </si>
  <si>
    <t>Calculation of Dilution</t>
  </si>
  <si>
    <t xml:space="preserve">ESoPS/Warrants/RSUs/PSU </t>
  </si>
  <si>
    <t>Units Outstanding</t>
  </si>
  <si>
    <t>Exercise Price</t>
  </si>
  <si>
    <t>Notional</t>
  </si>
  <si>
    <t>Net</t>
  </si>
  <si>
    <t>Type (ESOP/RSU/PSU/etc)</t>
  </si>
  <si>
    <t>ITM?</t>
  </si>
  <si>
    <t>Shares Issued</t>
  </si>
  <si>
    <t>Cash</t>
  </si>
  <si>
    <t>Buyback</t>
  </si>
  <si>
    <t>Dilution</t>
  </si>
  <si>
    <t>ESOPs</t>
  </si>
  <si>
    <t>RSUs</t>
  </si>
  <si>
    <t>TOTAL</t>
  </si>
  <si>
    <t>Convertible Debt / Pref shares</t>
  </si>
  <si>
    <t>Conversion Price</t>
  </si>
  <si>
    <t>Share Dilution</t>
  </si>
  <si>
    <t>Nature</t>
  </si>
  <si>
    <t>Face Value</t>
  </si>
  <si>
    <t>BV</t>
  </si>
  <si>
    <t>Debt/Pref</t>
  </si>
  <si>
    <t>FY1</t>
  </si>
  <si>
    <t>FY2</t>
  </si>
  <si>
    <t>Key Financials</t>
  </si>
  <si>
    <t>Annual</t>
  </si>
  <si>
    <t>Crt. YTD</t>
  </si>
  <si>
    <t>Pr. YTD</t>
  </si>
  <si>
    <t>LTM</t>
  </si>
  <si>
    <t>CAGR</t>
  </si>
  <si>
    <t>Insert Date --&gt;</t>
  </si>
  <si>
    <t>Reported Sales</t>
  </si>
  <si>
    <t>Reported EBIT/Operating Income</t>
  </si>
  <si>
    <t>Add/Less: Exceptional/No-Operating Items reported above EBIT</t>
  </si>
  <si>
    <t>Adjusted EBIT</t>
  </si>
  <si>
    <t>Add: D&amp;A</t>
  </si>
  <si>
    <t>Adjusted EBITDA</t>
  </si>
  <si>
    <t>Add/Less: Exceptional Items reported above EBIT</t>
  </si>
  <si>
    <t>Add/Less: Exceptional Items reported below EBIT</t>
  </si>
  <si>
    <t>Less: Tax on Adjustments</t>
  </si>
  <si>
    <t>Add/Less: Non Tax Deductable Adjustments</t>
  </si>
  <si>
    <t>Less: Share of Minority Interest</t>
  </si>
  <si>
    <t>Adjusted Net Income to Common Shareholders of the Company</t>
  </si>
  <si>
    <t>Diluted Weighted Average No of Shares</t>
  </si>
  <si>
    <t>Diluted EPS</t>
  </si>
  <si>
    <t>Capitalised Value of Operating Lease</t>
  </si>
  <si>
    <t>Rate</t>
  </si>
  <si>
    <t>ESoPS</t>
  </si>
  <si>
    <t>RSU &amp; PSU</t>
  </si>
  <si>
    <t>Reported Net Income</t>
  </si>
  <si>
    <t>Adjusted Net Income</t>
  </si>
  <si>
    <t xml:space="preserve">Discount </t>
  </si>
  <si>
    <t>ESOPS</t>
  </si>
  <si>
    <t>NO Values given for PSUs</t>
  </si>
  <si>
    <t>RATE</t>
  </si>
  <si>
    <t>PSUs(50)%</t>
  </si>
  <si>
    <t>page 71</t>
  </si>
  <si>
    <t>Comparable Company Analysis</t>
  </si>
  <si>
    <t>(All numbers are in millions except per share data)</t>
  </si>
  <si>
    <t>Industry</t>
  </si>
  <si>
    <t>Geography</t>
  </si>
  <si>
    <t>US</t>
  </si>
  <si>
    <t>Currency</t>
  </si>
  <si>
    <t>Exchange Rate</t>
  </si>
  <si>
    <t>LTM Multiples</t>
  </si>
  <si>
    <t>FY1 Multiple</t>
  </si>
  <si>
    <t>FY2 Multiple</t>
  </si>
  <si>
    <t>Peer Group Companies</t>
  </si>
  <si>
    <t>CMP</t>
  </si>
  <si>
    <t>EV/Sales</t>
  </si>
  <si>
    <t>EV/EBITDA</t>
  </si>
  <si>
    <t>EV/EBIT</t>
  </si>
  <si>
    <t>P/E</t>
  </si>
  <si>
    <t>EPS Growth</t>
  </si>
  <si>
    <t>Mean</t>
  </si>
  <si>
    <t>Median</t>
  </si>
  <si>
    <t>25th Percentile</t>
  </si>
  <si>
    <t>75th Percentile</t>
  </si>
  <si>
    <t>Li Auto</t>
  </si>
  <si>
    <t>F10</t>
  </si>
  <si>
    <t>F33</t>
  </si>
  <si>
    <t>F18</t>
  </si>
  <si>
    <t>F32</t>
  </si>
  <si>
    <t>K59</t>
  </si>
  <si>
    <t>K65</t>
  </si>
  <si>
    <t>K63</t>
  </si>
  <si>
    <t>K74</t>
  </si>
  <si>
    <t>L59</t>
  </si>
  <si>
    <t>L65</t>
  </si>
  <si>
    <t>L63</t>
  </si>
  <si>
    <t>L74</t>
  </si>
  <si>
    <t>M59</t>
  </si>
  <si>
    <t>M65</t>
  </si>
  <si>
    <t>M63</t>
  </si>
  <si>
    <t>M74</t>
  </si>
  <si>
    <t>N74</t>
  </si>
  <si>
    <t>Name of Target Company</t>
  </si>
  <si>
    <t>CHOOSE --&gt;</t>
  </si>
  <si>
    <t>EBITDA</t>
  </si>
  <si>
    <t>Industry Multiple Range</t>
  </si>
  <si>
    <t>Total Debt</t>
  </si>
  <si>
    <t>Debt Equivalent</t>
  </si>
  <si>
    <t>Cash &amp; ST Investments</t>
  </si>
  <si>
    <t>NC Investments (Non-Op. Assets)</t>
  </si>
  <si>
    <t xml:space="preserve">Implied Equity Value </t>
  </si>
  <si>
    <t>Diluted Shares O/S</t>
  </si>
  <si>
    <t>FY1 EV/EBITDA</t>
  </si>
  <si>
    <t>FY2 EV/EBITDA</t>
  </si>
  <si>
    <t>LTM EV/EBIT</t>
  </si>
  <si>
    <t>FY1 EV/EBIT</t>
  </si>
  <si>
    <t>FY2 EV/EBIT</t>
  </si>
  <si>
    <t>SALES</t>
  </si>
  <si>
    <t>LTM EV/Sales</t>
  </si>
  <si>
    <t>FY1 EV/Sales</t>
  </si>
  <si>
    <t>FY2 EV/Sales</t>
  </si>
  <si>
    <t>NET INCOME</t>
  </si>
  <si>
    <t>LTM P/E</t>
  </si>
  <si>
    <t>FY1 P/E</t>
  </si>
  <si>
    <t>FY2 P/E</t>
  </si>
  <si>
    <t>BUY</t>
  </si>
  <si>
    <t>General Motor Valuation Range as per Trading Comps (P/E)</t>
  </si>
  <si>
    <t>General Motor</t>
  </si>
  <si>
    <t>Source Market watch</t>
  </si>
  <si>
    <t>VALUATION RANGE (as per different Valuation Methods)</t>
  </si>
  <si>
    <t>Difference</t>
  </si>
  <si>
    <t>Unaffected Price (CMP)</t>
  </si>
  <si>
    <t>Total Range</t>
  </si>
  <si>
    <t>right side is undervalues</t>
  </si>
  <si>
    <t>left side is overvalued</t>
  </si>
  <si>
    <t>Recommended</t>
  </si>
  <si>
    <t>Target Price</t>
  </si>
  <si>
    <t>(average of DCF &amp; P/E)</t>
  </si>
  <si>
    <t>Updated Potential</t>
  </si>
  <si>
    <t>target price/market price-1</t>
  </si>
  <si>
    <t>Debt (Historical)</t>
  </si>
  <si>
    <t>Equity (Historical)</t>
  </si>
  <si>
    <t>Total Assets (Historical)</t>
  </si>
  <si>
    <t>Debt to Total Assets Ratio (Historical)</t>
  </si>
  <si>
    <t>Debt to Equity (Historical)</t>
  </si>
  <si>
    <t>If Company Maintains the historical D/E Ratio, it can take upto this much new debt</t>
  </si>
  <si>
    <t>Assumption (taken to maintain Cash Balance at similar to historical levels)</t>
  </si>
  <si>
    <t>Combined LT Debt</t>
  </si>
  <si>
    <t>Combined ST Debt</t>
  </si>
  <si>
    <t>Combined PPE &amp; Op. Lease</t>
  </si>
  <si>
    <t>https://fullratio.com/ebitda-multiples-by-industry</t>
  </si>
  <si>
    <t>Time to terminal Period (mid-year discounting)</t>
  </si>
  <si>
    <t>Time to Terminal Period (end-year discounting)</t>
  </si>
  <si>
    <t>Genearl Motors DCF Calculation</t>
  </si>
  <si>
    <t>Implied Per Share Value-GM</t>
  </si>
  <si>
    <t>Implied Op. EV-GM</t>
  </si>
  <si>
    <t>GM Valuation Range as per Trading Comps (EV/Sales)</t>
  </si>
  <si>
    <t>GM Valuation Range as per Trading Comps (EV/EBITDA)</t>
  </si>
  <si>
    <t>GM Valuation Range as per Trading Comps (EV/EBIT)</t>
  </si>
  <si>
    <t>THE General Motors COMPANY</t>
  </si>
  <si>
    <t>Net Income to shareholders of General Motors Company  - Normalized/Adjusted</t>
  </si>
  <si>
    <t>Metrix</t>
  </si>
  <si>
    <t>Revenue</t>
  </si>
  <si>
    <t>Shareholder's Equity</t>
  </si>
  <si>
    <t>Net Profit Margin</t>
  </si>
  <si>
    <t>Asset Turnover</t>
  </si>
  <si>
    <t>Equity Multiplier</t>
  </si>
  <si>
    <t>Return on Equity (ROE)</t>
  </si>
  <si>
    <t>Net Income attributable to shareholders of GM Company  - Reported</t>
  </si>
  <si>
    <t>Current Market Price (as on Mar 28,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</si>
</sst>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_-;_-@_-"/>
    <numFmt numFmtId="166" formatCode="_(* #,##0_);_(* \(#,##0\);_(* &quot;-&quot;??_);_(@_)"/>
    <numFmt numFmtId="167" formatCode="#,##0;\(#,##0\);&quot;-&quot;"/>
    <numFmt numFmtId="168" formatCode="_ * #,##0_ ;_ * \-#,##0_ ;_ * &quot;-&quot;??_ ;_ @_ "/>
    <numFmt numFmtId="169" formatCode="\ #,##0.0_);\(#,##0.0\);&quot; - &quot;_);@_)"/>
    <numFmt numFmtId="170" formatCode="0&quot; Months&quot;"/>
    <numFmt numFmtId="171" formatCode="0.0%"/>
    <numFmt numFmtId="172" formatCode="#,##0.000;\-#,##0.000"/>
    <numFmt numFmtId="173" formatCode="0\ &quot;bn&quot;"/>
    <numFmt numFmtId="174" formatCode="[$-409]d\-mmm\-yyyy;@"/>
    <numFmt numFmtId="175" formatCode="0.0"/>
    <numFmt numFmtId="176" formatCode="0.000"/>
    <numFmt numFmtId="177" formatCode="_(* #,##0.0_);_(* \(#,##0.0\);_(* &quot;-&quot;??_);_(@_)"/>
    <numFmt numFmtId="178" formatCode="0&quot; days&quot;"/>
    <numFmt numFmtId="179" formatCode="_(* #,##0.00_);_(* \(#,##0.00\);_(* &quot;-&quot;??.00_);_(@_)"/>
    <numFmt numFmtId="180" formatCode="_(* #,##0.0_);_(* \(#,##0.0\);_(* &quot;-&quot;??.0_);_(@_)"/>
    <numFmt numFmtId="181" formatCode="0.0&quot;x&quot;"/>
    <numFmt numFmtId="182" formatCode="dd\ mmm\'yy"/>
    <numFmt numFmtId="183" formatCode="_(* #,##0.000_);_(* \(#,##0.000\);_(* &quot;-&quot;??_);_(@_)"/>
    <numFmt numFmtId="184" formatCode="_(* #,##0.0000_);_(* \(#,##0.0000\);_(* &quot;-&quot;??_);_(@_)"/>
    <numFmt numFmtId="185" formatCode="_(* #,##0.00000_);_(* \(#,##0.00000\);_(* &quot;-&quot;??_);_(@_)"/>
    <numFmt numFmtId="186" formatCode="_ * #,##0.0_ ;_ * \-#,##0.0_ ;_ * &quot;-&quot;??_ ;_ @_ "/>
    <numFmt numFmtId="187" formatCode="&quot;$&quot;#,##0"/>
  </numFmts>
  <fonts count="13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993366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i/>
      <sz val="11"/>
      <name val="Calibri"/>
      <family val="2"/>
    </font>
    <font>
      <b/>
      <i/>
      <u/>
      <sz val="11"/>
      <color theme="1"/>
      <name val="Calibri"/>
      <family val="2"/>
    </font>
    <font>
      <b/>
      <i/>
      <sz val="11"/>
      <color rgb="FFFF0000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0"/>
      <name val="Arial Narrow"/>
      <family val="2"/>
    </font>
    <font>
      <sz val="8"/>
      <color indexed="25"/>
      <name val="Arial Narrow"/>
      <family val="2"/>
    </font>
    <font>
      <b/>
      <sz val="10"/>
      <color indexed="25"/>
      <name val="Arial Narrow"/>
      <family val="2"/>
    </font>
    <font>
      <sz val="10"/>
      <color indexed="25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b/>
      <i/>
      <sz val="11"/>
      <color theme="0"/>
      <name val="Calibri"/>
      <family val="2"/>
    </font>
    <font>
      <b/>
      <i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name val="Calibri"/>
      <family val="2"/>
    </font>
    <font>
      <b/>
      <sz val="11"/>
      <color rgb="FF0070C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i/>
      <sz val="11"/>
      <color rgb="FFFF0000"/>
      <name val="Calibri"/>
      <family val="2"/>
      <scheme val="minor"/>
    </font>
    <font>
      <b/>
      <sz val="11"/>
      <color theme="4"/>
      <name val="Calibri"/>
      <family val="2"/>
    </font>
    <font>
      <b/>
      <i/>
      <sz val="10"/>
      <color rgb="FF0070C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14"/>
      <color rgb="FFFF0000"/>
      <name val="Calibri"/>
      <family val="2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2"/>
      <color rgb="FF232A3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i/>
      <sz val="10"/>
      <color rgb="FF7030A0"/>
      <name val="Calibri"/>
      <family val="2"/>
    </font>
    <font>
      <b/>
      <sz val="10"/>
      <color rgb="FF7030A0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b/>
      <sz val="10"/>
      <color theme="0"/>
      <name val="Calibri"/>
      <family val="2"/>
    </font>
    <font>
      <i/>
      <sz val="10"/>
      <color theme="1"/>
      <name val="Calibri"/>
      <family val="2"/>
    </font>
    <font>
      <b/>
      <i/>
      <sz val="11"/>
      <color rgb="FF7030A0"/>
      <name val="Calibri"/>
      <family val="2"/>
    </font>
    <font>
      <i/>
      <sz val="11"/>
      <color rgb="FF7030A0"/>
      <name val="Calibri"/>
      <family val="2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rgb="FF7030A0"/>
      <name val="Calibri"/>
      <family val="2"/>
    </font>
    <font>
      <b/>
      <sz val="16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1F1F1F"/>
      <name val="Arial"/>
      <family val="2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8"/>
      <color rgb="FFE7E6E6"/>
      <name val="Gill Sans"/>
    </font>
    <font>
      <sz val="10"/>
      <color theme="1"/>
      <name val="Gill Sans"/>
    </font>
    <font>
      <sz val="10"/>
      <color rgb="FFE7E6E6"/>
      <name val="Gill Sans"/>
    </font>
    <font>
      <sz val="10"/>
      <color theme="0"/>
      <name val="Gill Sans"/>
    </font>
    <font>
      <b/>
      <sz val="10"/>
      <color rgb="FF000000"/>
      <name val="Gill Sans"/>
    </font>
    <font>
      <i/>
      <sz val="10"/>
      <color rgb="FF000000"/>
      <name val="Gill Sans"/>
    </font>
    <font>
      <sz val="10"/>
      <color rgb="FF000000"/>
      <name val="Gill Sans"/>
    </font>
    <font>
      <sz val="10"/>
      <color rgb="FFD8D8D8"/>
      <name val="Gill Sans"/>
    </font>
    <font>
      <i/>
      <sz val="10"/>
      <color theme="1"/>
      <name val="Gill Sans"/>
    </font>
    <font>
      <b/>
      <sz val="10"/>
      <color theme="1"/>
      <name val="Gill Sans"/>
    </font>
    <font>
      <sz val="10"/>
      <color theme="1"/>
      <name val="Gill Sans"/>
      <family val="2"/>
    </font>
    <font>
      <sz val="10"/>
      <color rgb="FF5E5E5E"/>
      <name val="Calibri"/>
      <family val="2"/>
    </font>
    <font>
      <sz val="11"/>
      <color theme="1"/>
      <name val="Times"/>
    </font>
    <font>
      <b/>
      <sz val="10"/>
      <color rgb="FF000000"/>
      <name val="Gill Sans"/>
      <family val="2"/>
    </font>
    <font>
      <i/>
      <sz val="10"/>
      <color rgb="FF000000"/>
      <name val="Gill Sans"/>
      <family val="2"/>
    </font>
    <font>
      <b/>
      <sz val="10"/>
      <color theme="1"/>
      <name val="Gill Sans"/>
      <family val="2"/>
    </font>
    <font>
      <sz val="10"/>
      <color rgb="FFFF0000"/>
      <name val="Gill Sans"/>
    </font>
    <font>
      <b/>
      <sz val="16"/>
      <color theme="1"/>
      <name val="Calibri"/>
      <family val="2"/>
    </font>
    <font>
      <sz val="11"/>
      <color rgb="FF44546A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  <font>
      <b/>
      <sz val="11"/>
      <color rgb="FF00CC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002060"/>
        <bgColor rgb="FF1F38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theme="1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theme="2" tint="-0.499984740745262"/>
        <bgColor rgb="FF00206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F3864"/>
        <bgColor rgb="FF1F3864"/>
      </patternFill>
    </fill>
    <fill>
      <patternFill patternType="solid">
        <fgColor theme="0"/>
        <bgColor rgb="FF1F38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theme="5" tint="0.39997558519241921"/>
        <bgColor rgb="FFFEF2CB"/>
      </patternFill>
    </fill>
    <fill>
      <patternFill patternType="solid">
        <fgColor theme="4" tint="0.39997558519241921"/>
        <bgColor rgb="FFD9E2F3"/>
      </patternFill>
    </fill>
    <fill>
      <patternFill patternType="solid">
        <fgColor theme="0"/>
        <bgColor rgb="FFD9E2F3"/>
      </patternFill>
    </fill>
    <fill>
      <patternFill patternType="solid">
        <fgColor theme="7" tint="0.79998168889431442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rgb="FFFBE4D5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1"/>
        <bgColor rgb="FFC5E0B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44546A"/>
      </bottom>
      <diagonal/>
    </border>
    <border>
      <left/>
      <right/>
      <top style="medium">
        <color rgb="FF000000"/>
      </top>
      <bottom style="medium">
        <color rgb="FF44546A"/>
      </bottom>
      <diagonal/>
    </border>
    <border>
      <left style="medium">
        <color rgb="FF000000"/>
      </left>
      <right/>
      <top style="medium">
        <color rgb="FF44546A"/>
      </top>
      <bottom/>
      <diagonal/>
    </border>
    <border>
      <left/>
      <right/>
      <top style="medium">
        <color rgb="FF44546A"/>
      </top>
      <bottom/>
      <diagonal/>
    </border>
    <border>
      <left/>
      <right/>
      <top style="medium">
        <color rgb="FF44546A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auto="1"/>
      </top>
      <bottom style="double">
        <color auto="1"/>
      </bottom>
      <diagonal/>
    </border>
  </borders>
  <cellStyleXfs count="17">
    <xf numFmtId="0" fontId="0" fillId="0" borderId="0"/>
    <xf numFmtId="164" fontId="47" fillId="0" borderId="0" applyFont="0" applyFill="0" applyBorder="0" applyAlignment="0" applyProtection="0"/>
    <xf numFmtId="165" fontId="43" fillId="0" borderId="6" applyFill="0" applyBorder="0" applyProtection="0">
      <alignment horizontal="right" vertical="top"/>
    </xf>
    <xf numFmtId="167" fontId="44" fillId="0" borderId="0">
      <alignment horizontal="left" vertical="top"/>
    </xf>
    <xf numFmtId="9" fontId="47" fillId="0" borderId="0" applyFont="0" applyFill="0" applyBorder="0" applyAlignment="0" applyProtection="0"/>
    <xf numFmtId="0" fontId="45" fillId="0" borderId="6">
      <alignment horizontal="right" wrapText="1"/>
    </xf>
    <xf numFmtId="167" fontId="43" fillId="0" borderId="0">
      <alignment horizontal="center"/>
    </xf>
    <xf numFmtId="0" fontId="43" fillId="0" borderId="0" applyFill="0" applyBorder="0">
      <alignment horizontal="left" vertical="top" wrapText="1"/>
    </xf>
    <xf numFmtId="167" fontId="46" fillId="0" borderId="6">
      <alignment horizontal="center"/>
    </xf>
    <xf numFmtId="169" fontId="43" fillId="0" borderId="0" applyFill="0" applyBorder="0">
      <alignment horizontal="right" vertical="top"/>
    </xf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" fillId="0" borderId="0"/>
    <xf numFmtId="9" fontId="5" fillId="0" borderId="0" applyFont="0" applyFill="0" applyBorder="0" applyAlignment="0" applyProtection="0"/>
    <xf numFmtId="0" fontId="134" fillId="0" borderId="0" applyNumberFormat="0" applyFill="0" applyBorder="0" applyAlignment="0" applyProtection="0"/>
  </cellStyleXfs>
  <cellXfs count="841">
    <xf numFmtId="0" fontId="0" fillId="0" borderId="0" xfId="0"/>
    <xf numFmtId="0" fontId="25" fillId="0" borderId="0" xfId="0" applyFont="1"/>
    <xf numFmtId="0" fontId="21" fillId="3" borderId="0" xfId="0" applyFont="1" applyFill="1" applyAlignment="1">
      <alignment vertical="top"/>
    </xf>
    <xf numFmtId="0" fontId="18" fillId="0" borderId="0" xfId="0" applyFont="1" applyAlignment="1">
      <alignment vertical="top"/>
    </xf>
    <xf numFmtId="170" fontId="21" fillId="3" borderId="0" xfId="0" applyNumberFormat="1" applyFont="1" applyFill="1" applyAlignment="1">
      <alignment horizontal="center" vertical="top"/>
    </xf>
    <xf numFmtId="0" fontId="21" fillId="3" borderId="0" xfId="0" applyFont="1" applyFill="1" applyAlignment="1">
      <alignment vertical="top" wrapText="1"/>
    </xf>
    <xf numFmtId="168" fontId="0" fillId="0" borderId="0" xfId="1" applyNumberFormat="1" applyFont="1"/>
    <xf numFmtId="168" fontId="0" fillId="0" borderId="0" xfId="1" applyNumberFormat="1" applyFont="1" applyFill="1"/>
    <xf numFmtId="164" fontId="0" fillId="0" borderId="0" xfId="1" applyFont="1"/>
    <xf numFmtId="171" fontId="0" fillId="0" borderId="0" xfId="4" applyNumberFormat="1" applyFont="1"/>
    <xf numFmtId="0" fontId="21" fillId="2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170" fontId="21" fillId="4" borderId="0" xfId="0" applyNumberFormat="1" applyFont="1" applyFill="1" applyAlignment="1">
      <alignment horizontal="center" vertical="top"/>
    </xf>
    <xf numFmtId="0" fontId="23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9" fillId="0" borderId="0" xfId="0" applyFont="1" applyAlignment="1">
      <alignment vertical="top"/>
    </xf>
    <xf numFmtId="0" fontId="0" fillId="6" borderId="0" xfId="0" applyFill="1"/>
    <xf numFmtId="37" fontId="0" fillId="6" borderId="0" xfId="0" applyNumberFormat="1" applyFill="1"/>
    <xf numFmtId="168" fontId="0" fillId="6" borderId="0" xfId="1" applyNumberFormat="1" applyFont="1" applyFill="1"/>
    <xf numFmtId="37" fontId="29" fillId="6" borderId="0" xfId="0" applyNumberFormat="1" applyFont="1" applyFill="1" applyAlignment="1">
      <alignment horizontal="right" vertical="top"/>
    </xf>
    <xf numFmtId="37" fontId="23" fillId="6" borderId="0" xfId="0" applyNumberFormat="1" applyFont="1" applyFill="1" applyAlignment="1">
      <alignment horizontal="right" vertical="top"/>
    </xf>
    <xf numFmtId="0" fontId="24" fillId="0" borderId="0" xfId="0" applyFont="1"/>
    <xf numFmtId="0" fontId="31" fillId="0" borderId="0" xfId="0" applyFont="1"/>
    <xf numFmtId="0" fontId="32" fillId="0" borderId="0" xfId="0" applyFont="1" applyAlignment="1">
      <alignment horizontal="center" vertical="top"/>
    </xf>
    <xf numFmtId="168" fontId="0" fillId="5" borderId="0" xfId="1" applyNumberFormat="1" applyFont="1" applyFill="1"/>
    <xf numFmtId="9" fontId="0" fillId="0" borderId="0" xfId="4" applyFont="1"/>
    <xf numFmtId="167" fontId="28" fillId="0" borderId="0" xfId="0" applyNumberFormat="1" applyFont="1" applyAlignment="1">
      <alignment horizontal="left" vertical="top"/>
    </xf>
    <xf numFmtId="0" fontId="38" fillId="0" borderId="0" xfId="0" applyFont="1"/>
    <xf numFmtId="0" fontId="39" fillId="0" borderId="0" xfId="0" applyFont="1"/>
    <xf numFmtId="0" fontId="22" fillId="7" borderId="0" xfId="0" applyFont="1" applyFill="1"/>
    <xf numFmtId="15" fontId="0" fillId="0" borderId="0" xfId="0" applyNumberFormat="1"/>
    <xf numFmtId="0" fontId="40" fillId="7" borderId="0" xfId="0" applyFont="1" applyFill="1"/>
    <xf numFmtId="170" fontId="21" fillId="8" borderId="0" xfId="0" applyNumberFormat="1" applyFont="1" applyFill="1" applyAlignment="1">
      <alignment horizontal="center" vertical="top"/>
    </xf>
    <xf numFmtId="0" fontId="21" fillId="7" borderId="0" xfId="0" applyFont="1" applyFill="1" applyAlignment="1">
      <alignment horizontal="center" vertical="center"/>
    </xf>
    <xf numFmtId="0" fontId="0" fillId="9" borderId="0" xfId="0" applyFill="1"/>
    <xf numFmtId="166" fontId="27" fillId="0" borderId="0" xfId="0" applyNumberFormat="1" applyFont="1" applyAlignment="1">
      <alignment horizontal="left" vertical="top"/>
    </xf>
    <xf numFmtId="168" fontId="0" fillId="9" borderId="0" xfId="1" applyNumberFormat="1" applyFont="1" applyFill="1"/>
    <xf numFmtId="9" fontId="38" fillId="0" borderId="0" xfId="4" applyFont="1"/>
    <xf numFmtId="9" fontId="38" fillId="9" borderId="0" xfId="4" applyFont="1" applyFill="1"/>
    <xf numFmtId="166" fontId="41" fillId="0" borderId="0" xfId="0" applyNumberFormat="1" applyFont="1" applyAlignment="1">
      <alignment horizontal="left" vertical="top"/>
    </xf>
    <xf numFmtId="166" fontId="42" fillId="0" borderId="0" xfId="0" applyNumberFormat="1" applyFont="1" applyAlignment="1">
      <alignment horizontal="left" vertical="top"/>
    </xf>
    <xf numFmtId="168" fontId="39" fillId="0" borderId="1" xfId="4" applyNumberFormat="1" applyFont="1" applyBorder="1"/>
    <xf numFmtId="166" fontId="27" fillId="0" borderId="0" xfId="0" applyNumberFormat="1" applyFont="1" applyAlignment="1">
      <alignment horizontal="right" vertical="top" wrapText="1"/>
    </xf>
    <xf numFmtId="166" fontId="30" fillId="0" borderId="0" xfId="0" applyNumberFormat="1" applyFont="1" applyAlignment="1">
      <alignment horizontal="left" vertical="top" wrapText="1"/>
    </xf>
    <xf numFmtId="168" fontId="25" fillId="0" borderId="5" xfId="0" applyNumberFormat="1" applyFont="1" applyBorder="1"/>
    <xf numFmtId="9" fontId="39" fillId="0" borderId="0" xfId="4" applyFont="1"/>
    <xf numFmtId="9" fontId="38" fillId="9" borderId="0" xfId="0" applyNumberFormat="1" applyFont="1" applyFill="1"/>
    <xf numFmtId="0" fontId="17" fillId="0" borderId="0" xfId="0" applyFont="1"/>
    <xf numFmtId="0" fontId="49" fillId="2" borderId="0" xfId="0" applyFont="1" applyFill="1" applyAlignment="1">
      <alignment horizontal="center" vertical="center"/>
    </xf>
    <xf numFmtId="9" fontId="50" fillId="10" borderId="3" xfId="4" applyFont="1" applyFill="1" applyBorder="1"/>
    <xf numFmtId="0" fontId="48" fillId="0" borderId="0" xfId="0" applyFont="1"/>
    <xf numFmtId="0" fontId="54" fillId="3" borderId="0" xfId="0" applyFont="1" applyFill="1" applyAlignment="1">
      <alignment horizontal="left" vertical="top"/>
    </xf>
    <xf numFmtId="0" fontId="40" fillId="0" borderId="0" xfId="0" applyFont="1"/>
    <xf numFmtId="166" fontId="51" fillId="0" borderId="0" xfId="0" applyNumberFormat="1" applyFont="1" applyAlignment="1">
      <alignment horizontal="left" vertical="top" wrapText="1"/>
    </xf>
    <xf numFmtId="0" fontId="55" fillId="0" borderId="0" xfId="0" applyFont="1"/>
    <xf numFmtId="0" fontId="56" fillId="0" borderId="0" xfId="0" applyFont="1"/>
    <xf numFmtId="2" fontId="0" fillId="0" borderId="0" xfId="0" applyNumberFormat="1"/>
    <xf numFmtId="1" fontId="0" fillId="0" borderId="0" xfId="0" applyNumberFormat="1"/>
    <xf numFmtId="0" fontId="53" fillId="0" borderId="0" xfId="0" applyFont="1" applyAlignment="1">
      <alignment vertical="top"/>
    </xf>
    <xf numFmtId="0" fontId="62" fillId="0" borderId="0" xfId="0" applyFont="1"/>
    <xf numFmtId="164" fontId="0" fillId="0" borderId="0" xfId="0" applyNumberFormat="1"/>
    <xf numFmtId="0" fontId="57" fillId="0" borderId="0" xfId="0" applyFont="1" applyAlignment="1">
      <alignment vertical="top"/>
    </xf>
    <xf numFmtId="1" fontId="0" fillId="6" borderId="0" xfId="0" applyNumberFormat="1" applyFill="1"/>
    <xf numFmtId="0" fontId="24" fillId="6" borderId="0" xfId="0" applyFont="1" applyFill="1"/>
    <xf numFmtId="0" fontId="62" fillId="6" borderId="0" xfId="0" applyFont="1" applyFill="1"/>
    <xf numFmtId="37" fontId="25" fillId="6" borderId="0" xfId="0" applyNumberFormat="1" applyFont="1" applyFill="1"/>
    <xf numFmtId="166" fontId="33" fillId="6" borderId="0" xfId="0" applyNumberFormat="1" applyFont="1" applyFill="1" applyAlignment="1">
      <alignment horizontal="right" vertical="top" wrapText="1"/>
    </xf>
    <xf numFmtId="164" fontId="23" fillId="6" borderId="0" xfId="1" applyFont="1" applyFill="1" applyAlignment="1">
      <alignment horizontal="right" vertical="top"/>
    </xf>
    <xf numFmtId="171" fontId="0" fillId="6" borderId="0" xfId="0" applyNumberFormat="1" applyFill="1"/>
    <xf numFmtId="0" fontId="64" fillId="0" borderId="0" xfId="0" applyFont="1" applyAlignment="1">
      <alignment horizontal="left" wrapText="1"/>
    </xf>
    <xf numFmtId="0" fontId="64" fillId="0" borderId="0" xfId="0" applyFont="1" applyAlignment="1">
      <alignment horizontal="left" vertical="top" wrapText="1"/>
    </xf>
    <xf numFmtId="37" fontId="63" fillId="6" borderId="1" xfId="0" applyNumberFormat="1" applyFont="1" applyFill="1" applyBorder="1" applyAlignment="1">
      <alignment horizontal="right" vertical="top"/>
    </xf>
    <xf numFmtId="37" fontId="58" fillId="6" borderId="1" xfId="0" applyNumberFormat="1" applyFont="1" applyFill="1" applyBorder="1" applyAlignment="1">
      <alignment horizontal="right" vertical="top"/>
    </xf>
    <xf numFmtId="166" fontId="23" fillId="6" borderId="0" xfId="0" applyNumberFormat="1" applyFont="1" applyFill="1" applyAlignment="1">
      <alignment horizontal="right" vertical="top" wrapText="1"/>
    </xf>
    <xf numFmtId="0" fontId="0" fillId="6" borderId="2" xfId="0" applyFill="1" applyBorder="1"/>
    <xf numFmtId="0" fontId="31" fillId="0" borderId="0" xfId="0" applyFont="1" applyAlignment="1">
      <alignment horizontal="center"/>
    </xf>
    <xf numFmtId="9" fontId="24" fillId="0" borderId="0" xfId="0" applyNumberFormat="1" applyFont="1"/>
    <xf numFmtId="9" fontId="31" fillId="0" borderId="0" xfId="0" applyNumberFormat="1" applyFont="1"/>
    <xf numFmtId="0" fontId="65" fillId="0" borderId="0" xfId="0" applyFont="1" applyAlignment="1">
      <alignment horizontal="left" wrapText="1"/>
    </xf>
    <xf numFmtId="0" fontId="64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66" fillId="0" borderId="0" xfId="0" applyFont="1"/>
    <xf numFmtId="166" fontId="41" fillId="0" borderId="0" xfId="0" applyNumberFormat="1" applyFont="1" applyAlignment="1">
      <alignment horizontal="left" vertical="top" wrapText="1"/>
    </xf>
    <xf numFmtId="170" fontId="21" fillId="0" borderId="0" xfId="0" applyNumberFormat="1" applyFont="1" applyAlignment="1">
      <alignment horizontal="center" vertical="top"/>
    </xf>
    <xf numFmtId="9" fontId="38" fillId="0" borderId="0" xfId="4" applyFont="1" applyFill="1"/>
    <xf numFmtId="168" fontId="39" fillId="0" borderId="1" xfId="4" applyNumberFormat="1" applyFont="1" applyFill="1" applyBorder="1"/>
    <xf numFmtId="0" fontId="67" fillId="0" borderId="0" xfId="0" applyFont="1"/>
    <xf numFmtId="9" fontId="67" fillId="0" borderId="0" xfId="4" applyFont="1"/>
    <xf numFmtId="9" fontId="68" fillId="0" borderId="0" xfId="4" applyFont="1"/>
    <xf numFmtId="0" fontId="64" fillId="0" borderId="0" xfId="0" applyFont="1" applyAlignment="1">
      <alignment horizontal="center" vertical="top" wrapText="1"/>
    </xf>
    <xf numFmtId="0" fontId="55" fillId="0" borderId="0" xfId="0" applyFont="1" applyAlignment="1">
      <alignment vertical="center"/>
    </xf>
    <xf numFmtId="9" fontId="24" fillId="0" borderId="0" xfId="4" applyFont="1"/>
    <xf numFmtId="10" fontId="38" fillId="0" borderId="0" xfId="4" applyNumberFormat="1" applyFont="1"/>
    <xf numFmtId="3" fontId="0" fillId="0" borderId="0" xfId="0" applyNumberFormat="1"/>
    <xf numFmtId="0" fontId="16" fillId="0" borderId="0" xfId="0" applyFont="1"/>
    <xf numFmtId="3" fontId="24" fillId="0" borderId="0" xfId="0" applyNumberFormat="1" applyFont="1"/>
    <xf numFmtId="0" fontId="15" fillId="0" borderId="0" xfId="0" applyFont="1"/>
    <xf numFmtId="0" fontId="68" fillId="0" borderId="0" xfId="0" applyFont="1"/>
    <xf numFmtId="0" fontId="69" fillId="0" borderId="0" xfId="0" applyFont="1"/>
    <xf numFmtId="0" fontId="14" fillId="0" borderId="0" xfId="0" applyFont="1"/>
    <xf numFmtId="0" fontId="25" fillId="0" borderId="1" xfId="0" applyFont="1" applyBorder="1"/>
    <xf numFmtId="0" fontId="31" fillId="0" borderId="1" xfId="0" applyFont="1" applyBorder="1"/>
    <xf numFmtId="0" fontId="25" fillId="0" borderId="7" xfId="0" applyFont="1" applyBorder="1"/>
    <xf numFmtId="0" fontId="0" fillId="0" borderId="7" xfId="0" applyBorder="1"/>
    <xf numFmtId="0" fontId="25" fillId="0" borderId="8" xfId="0" applyFont="1" applyBorder="1"/>
    <xf numFmtId="0" fontId="68" fillId="0" borderId="4" xfId="0" applyFont="1" applyBorder="1"/>
    <xf numFmtId="0" fontId="59" fillId="0" borderId="0" xfId="0" applyFont="1" applyAlignment="1">
      <alignment horizontal="center" vertical="top"/>
    </xf>
    <xf numFmtId="15" fontId="21" fillId="3" borderId="0" xfId="0" applyNumberFormat="1" applyFont="1" applyFill="1" applyAlignment="1">
      <alignment horizontal="center" vertical="top" wrapText="1"/>
    </xf>
    <xf numFmtId="15" fontId="21" fillId="4" borderId="0" xfId="0" applyNumberFormat="1" applyFont="1" applyFill="1" applyAlignment="1">
      <alignment horizontal="center" vertical="top" wrapText="1"/>
    </xf>
    <xf numFmtId="0" fontId="19" fillId="6" borderId="0" xfId="0" applyFont="1" applyFill="1"/>
    <xf numFmtId="168" fontId="0" fillId="11" borderId="0" xfId="0" applyNumberFormat="1" applyFill="1"/>
    <xf numFmtId="168" fontId="0" fillId="11" borderId="0" xfId="1" applyNumberFormat="1" applyFont="1" applyFill="1"/>
    <xf numFmtId="37" fontId="29" fillId="6" borderId="1" xfId="0" applyNumberFormat="1" applyFont="1" applyFill="1" applyBorder="1" applyAlignment="1">
      <alignment horizontal="right" vertical="top"/>
    </xf>
    <xf numFmtId="0" fontId="72" fillId="0" borderId="0" xfId="0" applyFont="1"/>
    <xf numFmtId="0" fontId="73" fillId="2" borderId="3" xfId="0" applyFont="1" applyFill="1" applyBorder="1"/>
    <xf numFmtId="0" fontId="22" fillId="2" borderId="9" xfId="0" applyFont="1" applyFill="1" applyBorder="1"/>
    <xf numFmtId="0" fontId="0" fillId="0" borderId="10" xfId="0" applyBorder="1"/>
    <xf numFmtId="164" fontId="0" fillId="12" borderId="11" xfId="1" applyFont="1" applyFill="1" applyBorder="1"/>
    <xf numFmtId="173" fontId="0" fillId="12" borderId="12" xfId="0" applyNumberFormat="1" applyFill="1" applyBorder="1"/>
    <xf numFmtId="10" fontId="0" fillId="12" borderId="11" xfId="4" applyNumberFormat="1" applyFont="1" applyFill="1" applyBorder="1"/>
    <xf numFmtId="173" fontId="0" fillId="12" borderId="11" xfId="0" applyNumberFormat="1" applyFill="1" applyBorder="1"/>
    <xf numFmtId="0" fontId="0" fillId="0" borderId="10" xfId="0" applyBorder="1" applyAlignment="1">
      <alignment wrapText="1"/>
    </xf>
    <xf numFmtId="10" fontId="24" fillId="12" borderId="11" xfId="4" applyNumberFormat="1" applyFont="1" applyFill="1" applyBorder="1"/>
    <xf numFmtId="0" fontId="0" fillId="0" borderId="13" xfId="0" applyBorder="1" applyAlignment="1">
      <alignment wrapText="1"/>
    </xf>
    <xf numFmtId="173" fontId="0" fillId="12" borderId="14" xfId="0" applyNumberFormat="1" applyFill="1" applyBorder="1"/>
    <xf numFmtId="10" fontId="24" fillId="12" borderId="14" xfId="4" applyNumberFormat="1" applyFont="1" applyFill="1" applyBorder="1"/>
    <xf numFmtId="0" fontId="74" fillId="0" borderId="0" xfId="0" applyFont="1" applyAlignment="1">
      <alignment horizontal="center"/>
    </xf>
    <xf numFmtId="0" fontId="0" fillId="0" borderId="18" xfId="0" applyBorder="1"/>
    <xf numFmtId="0" fontId="0" fillId="0" borderId="2" xfId="0" applyBorder="1"/>
    <xf numFmtId="0" fontId="0" fillId="0" borderId="19" xfId="0" applyBorder="1"/>
    <xf numFmtId="0" fontId="0" fillId="0" borderId="16" xfId="0" applyBorder="1"/>
    <xf numFmtId="0" fontId="0" fillId="0" borderId="4" xfId="0" applyBorder="1"/>
    <xf numFmtId="0" fontId="19" fillId="0" borderId="17" xfId="0" applyFont="1" applyBorder="1"/>
    <xf numFmtId="0" fontId="0" fillId="0" borderId="17" xfId="0" applyBorder="1"/>
    <xf numFmtId="10" fontId="0" fillId="0" borderId="20" xfId="0" applyNumberFormat="1" applyBorder="1"/>
    <xf numFmtId="10" fontId="0" fillId="0" borderId="0" xfId="0" applyNumberFormat="1"/>
    <xf numFmtId="4" fontId="0" fillId="0" borderId="0" xfId="0" applyNumberFormat="1"/>
    <xf numFmtId="14" fontId="0" fillId="0" borderId="0" xfId="0" applyNumberFormat="1"/>
    <xf numFmtId="3" fontId="13" fillId="0" borderId="0" xfId="0" applyNumberFormat="1" applyFont="1"/>
    <xf numFmtId="0" fontId="13" fillId="0" borderId="0" xfId="0" applyFont="1"/>
    <xf numFmtId="166" fontId="27" fillId="0" borderId="0" xfId="0" applyNumberFormat="1" applyFont="1" applyAlignment="1">
      <alignment vertical="top"/>
    </xf>
    <xf numFmtId="0" fontId="26" fillId="0" borderId="0" xfId="0" applyFont="1"/>
    <xf numFmtId="0" fontId="25" fillId="0" borderId="22" xfId="0" applyFont="1" applyBorder="1"/>
    <xf numFmtId="0" fontId="12" fillId="0" borderId="0" xfId="0" applyFont="1"/>
    <xf numFmtId="0" fontId="75" fillId="0" borderId="0" xfId="0" applyFont="1" applyAlignment="1">
      <alignment vertical="top"/>
    </xf>
    <xf numFmtId="0" fontId="73" fillId="2" borderId="0" xfId="0" applyFont="1" applyFill="1" applyAlignment="1">
      <alignment vertical="top"/>
    </xf>
    <xf numFmtId="0" fontId="76" fillId="0" borderId="0" xfId="0" applyFont="1"/>
    <xf numFmtId="0" fontId="76" fillId="0" borderId="0" xfId="0" applyFont="1" applyAlignment="1">
      <alignment vertical="top"/>
    </xf>
    <xf numFmtId="0" fontId="77" fillId="0" borderId="0" xfId="0" applyFont="1" applyAlignment="1">
      <alignment vertical="top"/>
    </xf>
    <xf numFmtId="0" fontId="78" fillId="0" borderId="0" xfId="5" applyFont="1" applyBorder="1" applyAlignment="1">
      <alignment horizontal="right" vertical="top" wrapText="1"/>
    </xf>
    <xf numFmtId="0" fontId="78" fillId="0" borderId="0" xfId="5" applyFont="1" applyBorder="1" applyAlignment="1">
      <alignment horizontal="left" vertical="top" wrapText="1"/>
    </xf>
    <xf numFmtId="49" fontId="76" fillId="0" borderId="0" xfId="2" applyNumberFormat="1" applyFont="1" applyFill="1" applyBorder="1" applyAlignment="1">
      <alignment horizontal="left" vertical="top"/>
    </xf>
    <xf numFmtId="0" fontId="78" fillId="0" borderId="0" xfId="5" applyFont="1" applyBorder="1" applyAlignment="1">
      <alignment horizontal="left" vertical="top"/>
    </xf>
    <xf numFmtId="0" fontId="78" fillId="0" borderId="23" xfId="5" applyFont="1" applyBorder="1" applyAlignment="1">
      <alignment horizontal="left" vertical="top" wrapText="1"/>
    </xf>
    <xf numFmtId="167" fontId="76" fillId="0" borderId="23" xfId="8" applyFont="1" applyBorder="1" applyAlignment="1">
      <alignment horizontal="center" vertical="top"/>
    </xf>
    <xf numFmtId="0" fontId="78" fillId="0" borderId="23" xfId="5" applyFont="1" applyBorder="1" applyAlignment="1">
      <alignment horizontal="right" vertical="top" wrapText="1"/>
    </xf>
    <xf numFmtId="0" fontId="78" fillId="0" borderId="24" xfId="5" applyFont="1" applyBorder="1" applyAlignment="1">
      <alignment horizontal="right" vertical="top" wrapText="1"/>
    </xf>
    <xf numFmtId="167" fontId="76" fillId="0" borderId="23" xfId="7" applyNumberFormat="1" applyFont="1" applyFill="1" applyBorder="1">
      <alignment horizontal="left" vertical="top" wrapText="1"/>
    </xf>
    <xf numFmtId="174" fontId="76" fillId="12" borderId="23" xfId="6" applyNumberFormat="1" applyFont="1" applyFill="1" applyBorder="1" applyAlignment="1">
      <alignment horizontal="center" vertical="top" wrapText="1"/>
    </xf>
    <xf numFmtId="10" fontId="79" fillId="12" borderId="23" xfId="4" applyNumberFormat="1" applyFont="1" applyFill="1" applyBorder="1" applyAlignment="1">
      <alignment horizontal="right" vertical="top" wrapText="1"/>
    </xf>
    <xf numFmtId="49" fontId="76" fillId="12" borderId="0" xfId="2" applyNumberFormat="1" applyFont="1" applyFill="1" applyBorder="1" applyAlignment="1">
      <alignment horizontal="left" vertical="top"/>
    </xf>
    <xf numFmtId="167" fontId="76" fillId="12" borderId="23" xfId="7" applyNumberFormat="1" applyFont="1" applyFill="1" applyBorder="1" applyAlignment="1">
      <alignment horizontal="left" vertical="top"/>
    </xf>
    <xf numFmtId="0" fontId="76" fillId="12" borderId="23" xfId="7" applyFont="1" applyFill="1" applyBorder="1" applyAlignment="1">
      <alignment horizontal="center" vertical="top" wrapText="1"/>
    </xf>
    <xf numFmtId="171" fontId="79" fillId="12" borderId="23" xfId="4" applyNumberFormat="1" applyFont="1" applyFill="1" applyBorder="1" applyAlignment="1">
      <alignment horizontal="right" vertical="top"/>
    </xf>
    <xf numFmtId="0" fontId="76" fillId="12" borderId="0" xfId="0" applyFont="1" applyFill="1" applyAlignment="1">
      <alignment vertical="top"/>
    </xf>
    <xf numFmtId="167" fontId="76" fillId="12" borderId="23" xfId="7" applyNumberFormat="1" applyFont="1" applyFill="1" applyBorder="1">
      <alignment horizontal="left" vertical="top" wrapText="1"/>
    </xf>
    <xf numFmtId="171" fontId="79" fillId="12" borderId="23" xfId="4" applyNumberFormat="1" applyFont="1" applyFill="1" applyBorder="1" applyAlignment="1">
      <alignment vertical="top"/>
    </xf>
    <xf numFmtId="0" fontId="76" fillId="12" borderId="23" xfId="7" applyFont="1" applyFill="1" applyBorder="1" applyAlignment="1">
      <alignment horizontal="left" vertical="top"/>
    </xf>
    <xf numFmtId="171" fontId="79" fillId="12" borderId="0" xfId="4" applyNumberFormat="1" applyFont="1" applyFill="1" applyBorder="1" applyAlignment="1">
      <alignment horizontal="right" vertical="top"/>
    </xf>
    <xf numFmtId="167" fontId="76" fillId="0" borderId="0" xfId="7" applyNumberFormat="1" applyFont="1" applyFill="1" applyBorder="1">
      <alignment horizontal="left" vertical="top" wrapText="1"/>
    </xf>
    <xf numFmtId="167" fontId="76" fillId="12" borderId="0" xfId="6" applyFont="1" applyFill="1" applyAlignment="1">
      <alignment horizontal="center" vertical="top" wrapText="1"/>
    </xf>
    <xf numFmtId="164" fontId="76" fillId="12" borderId="0" xfId="1" applyFont="1" applyFill="1" applyBorder="1" applyAlignment="1">
      <alignment vertical="top"/>
    </xf>
    <xf numFmtId="167" fontId="76" fillId="12" borderId="0" xfId="7" applyNumberFormat="1" applyFont="1" applyFill="1" applyAlignment="1">
      <alignment horizontal="left" vertical="top"/>
    </xf>
    <xf numFmtId="0" fontId="76" fillId="12" borderId="0" xfId="7" applyFont="1" applyFill="1" applyAlignment="1">
      <alignment horizontal="center" vertical="top" wrapText="1"/>
    </xf>
    <xf numFmtId="171" fontId="79" fillId="12" borderId="0" xfId="4" applyNumberFormat="1" applyFont="1" applyFill="1" applyAlignment="1">
      <alignment horizontal="right" vertical="top"/>
    </xf>
    <xf numFmtId="167" fontId="76" fillId="12" borderId="0" xfId="7" applyNumberFormat="1" applyFont="1" applyFill="1" applyBorder="1">
      <alignment horizontal="left" vertical="top" wrapText="1"/>
    </xf>
    <xf numFmtId="171" fontId="79" fillId="12" borderId="0" xfId="4" applyNumberFormat="1" applyFont="1" applyFill="1" applyAlignment="1">
      <alignment vertical="top"/>
    </xf>
    <xf numFmtId="0" fontId="76" fillId="12" borderId="0" xfId="7" applyFont="1" applyFill="1" applyBorder="1" applyAlignment="1">
      <alignment horizontal="left" vertical="top"/>
    </xf>
    <xf numFmtId="167" fontId="76" fillId="0" borderId="0" xfId="7" applyNumberFormat="1" applyFont="1" applyFill="1">
      <alignment horizontal="left" vertical="top" wrapText="1"/>
    </xf>
    <xf numFmtId="167" fontId="76" fillId="12" borderId="0" xfId="7" applyNumberFormat="1" applyFont="1" applyFill="1" applyBorder="1" applyAlignment="1">
      <alignment horizontal="left" vertical="top"/>
    </xf>
    <xf numFmtId="167" fontId="78" fillId="12" borderId="23" xfId="7" applyNumberFormat="1" applyFont="1" applyFill="1" applyBorder="1">
      <alignment horizontal="left" vertical="top" wrapText="1"/>
    </xf>
    <xf numFmtId="0" fontId="78" fillId="12" borderId="23" xfId="0" applyFont="1" applyFill="1" applyBorder="1" applyAlignment="1">
      <alignment vertical="top"/>
    </xf>
    <xf numFmtId="167" fontId="76" fillId="0" borderId="25" xfId="7" applyNumberFormat="1" applyFont="1" applyFill="1" applyBorder="1">
      <alignment horizontal="left" vertical="top" wrapText="1"/>
    </xf>
    <xf numFmtId="167" fontId="76" fillId="12" borderId="25" xfId="7" applyNumberFormat="1" applyFont="1" applyFill="1" applyBorder="1">
      <alignment horizontal="left" vertical="top" wrapText="1"/>
    </xf>
    <xf numFmtId="167" fontId="76" fillId="12" borderId="0" xfId="3" applyFont="1" applyFill="1">
      <alignment horizontal="left" vertical="top"/>
    </xf>
    <xf numFmtId="169" fontId="79" fillId="12" borderId="0" xfId="9" applyFont="1" applyFill="1">
      <alignment horizontal="right" vertical="top"/>
    </xf>
    <xf numFmtId="171" fontId="76" fillId="12" borderId="0" xfId="0" applyNumberFormat="1" applyFont="1" applyFill="1" applyAlignment="1">
      <alignment vertical="top"/>
    </xf>
    <xf numFmtId="167" fontId="76" fillId="0" borderId="0" xfId="3" applyFont="1">
      <alignment horizontal="left" vertical="top"/>
    </xf>
    <xf numFmtId="169" fontId="79" fillId="0" borderId="0" xfId="9" applyFont="1" applyFill="1" applyBorder="1">
      <alignment horizontal="right" vertical="top"/>
    </xf>
    <xf numFmtId="166" fontId="76" fillId="0" borderId="0" xfId="1" applyNumberFormat="1" applyFont="1" applyFill="1" applyAlignment="1">
      <alignment vertical="top"/>
    </xf>
    <xf numFmtId="169" fontId="79" fillId="0" borderId="0" xfId="9" applyFont="1" applyFill="1">
      <alignment horizontal="right" vertical="top"/>
    </xf>
    <xf numFmtId="0" fontId="76" fillId="0" borderId="0" xfId="0" applyFont="1" applyAlignment="1">
      <alignment horizontal="left" vertical="top"/>
    </xf>
    <xf numFmtId="9" fontId="76" fillId="0" borderId="0" xfId="4" applyFont="1" applyFill="1" applyAlignment="1">
      <alignment vertical="top"/>
    </xf>
    <xf numFmtId="0" fontId="78" fillId="0" borderId="0" xfId="0" applyFont="1" applyAlignment="1">
      <alignment vertical="top"/>
    </xf>
    <xf numFmtId="0" fontId="78" fillId="0" borderId="0" xfId="0" applyFont="1" applyAlignment="1">
      <alignment vertical="top" wrapText="1"/>
    </xf>
    <xf numFmtId="0" fontId="73" fillId="2" borderId="26" xfId="0" applyFont="1" applyFill="1" applyBorder="1" applyAlignment="1">
      <alignment vertical="top" wrapText="1"/>
    </xf>
    <xf numFmtId="0" fontId="73" fillId="2" borderId="23" xfId="0" applyFont="1" applyFill="1" applyBorder="1" applyAlignment="1">
      <alignment horizontal="center" vertical="top" wrapText="1"/>
    </xf>
    <xf numFmtId="0" fontId="73" fillId="2" borderId="27" xfId="0" applyFont="1" applyFill="1" applyBorder="1" applyAlignment="1">
      <alignment horizontal="center" vertical="top" wrapText="1"/>
    </xf>
    <xf numFmtId="0" fontId="78" fillId="0" borderId="0" xfId="0" applyFont="1" applyAlignment="1">
      <alignment horizontal="right" vertical="top" wrapText="1"/>
    </xf>
    <xf numFmtId="0" fontId="76" fillId="0" borderId="0" xfId="0" applyFont="1" applyAlignment="1">
      <alignment vertical="top" wrapText="1"/>
    </xf>
    <xf numFmtId="0" fontId="76" fillId="0" borderId="0" xfId="0" applyFont="1" applyAlignment="1">
      <alignment wrapText="1"/>
    </xf>
    <xf numFmtId="43" fontId="76" fillId="12" borderId="0" xfId="0" applyNumberFormat="1" applyFont="1" applyFill="1" applyAlignment="1">
      <alignment vertical="top"/>
    </xf>
    <xf numFmtId="1" fontId="78" fillId="0" borderId="0" xfId="0" applyNumberFormat="1" applyFont="1" applyAlignment="1">
      <alignment vertical="top"/>
    </xf>
    <xf numFmtId="10" fontId="78" fillId="0" borderId="23" xfId="4" applyNumberFormat="1" applyFont="1" applyBorder="1" applyAlignment="1">
      <alignment vertical="top"/>
    </xf>
    <xf numFmtId="166" fontId="78" fillId="0" borderId="23" xfId="0" applyNumberFormat="1" applyFont="1" applyBorder="1" applyAlignment="1">
      <alignment vertical="top"/>
    </xf>
    <xf numFmtId="10" fontId="78" fillId="0" borderId="0" xfId="4" applyNumberFormat="1" applyFont="1" applyBorder="1" applyAlignment="1">
      <alignment vertical="top"/>
    </xf>
    <xf numFmtId="43" fontId="78" fillId="0" borderId="23" xfId="0" applyNumberFormat="1" applyFont="1" applyBorder="1" applyAlignment="1">
      <alignment vertical="top"/>
    </xf>
    <xf numFmtId="43" fontId="78" fillId="0" borderId="0" xfId="0" applyNumberFormat="1" applyFont="1" applyAlignment="1">
      <alignment vertical="top"/>
    </xf>
    <xf numFmtId="0" fontId="78" fillId="0" borderId="21" xfId="0" applyFont="1" applyBorder="1" applyAlignment="1">
      <alignment vertical="top"/>
    </xf>
    <xf numFmtId="166" fontId="78" fillId="0" borderId="0" xfId="0" applyNumberFormat="1" applyFont="1" applyAlignment="1">
      <alignment vertical="top"/>
    </xf>
    <xf numFmtId="43" fontId="76" fillId="0" borderId="20" xfId="0" applyNumberFormat="1" applyFont="1" applyBorder="1" applyAlignment="1">
      <alignment vertical="top"/>
    </xf>
    <xf numFmtId="43" fontId="76" fillId="0" borderId="0" xfId="0" applyNumberFormat="1" applyFont="1" applyAlignment="1">
      <alignment vertical="top"/>
    </xf>
    <xf numFmtId="0" fontId="76" fillId="0" borderId="21" xfId="0" applyFont="1" applyBorder="1" applyAlignment="1">
      <alignment vertical="top"/>
    </xf>
    <xf numFmtId="171" fontId="76" fillId="12" borderId="0" xfId="4" applyNumberFormat="1" applyFont="1" applyFill="1" applyBorder="1" applyAlignment="1">
      <alignment vertical="top"/>
    </xf>
    <xf numFmtId="171" fontId="76" fillId="0" borderId="0" xfId="4" applyNumberFormat="1" applyFont="1" applyFill="1" applyBorder="1" applyAlignment="1">
      <alignment vertical="top"/>
    </xf>
    <xf numFmtId="0" fontId="76" fillId="0" borderId="28" xfId="0" applyFont="1" applyBorder="1" applyAlignment="1">
      <alignment vertical="top"/>
    </xf>
    <xf numFmtId="0" fontId="76" fillId="12" borderId="24" xfId="0" applyFont="1" applyFill="1" applyBorder="1" applyAlignment="1">
      <alignment vertical="top"/>
    </xf>
    <xf numFmtId="164" fontId="76" fillId="12" borderId="24" xfId="1" applyFont="1" applyFill="1" applyBorder="1" applyAlignment="1">
      <alignment vertical="top"/>
    </xf>
    <xf numFmtId="0" fontId="78" fillId="12" borderId="24" xfId="0" applyFont="1" applyFill="1" applyBorder="1" applyAlignment="1">
      <alignment vertical="top"/>
    </xf>
    <xf numFmtId="2" fontId="76" fillId="12" borderId="24" xfId="4" applyNumberFormat="1" applyFont="1" applyFill="1" applyBorder="1" applyAlignment="1">
      <alignment vertical="top"/>
    </xf>
    <xf numFmtId="2" fontId="76" fillId="12" borderId="29" xfId="4" applyNumberFormat="1" applyFont="1" applyFill="1" applyBorder="1" applyAlignment="1">
      <alignment vertical="top"/>
    </xf>
    <xf numFmtId="0" fontId="76" fillId="0" borderId="23" xfId="0" applyFont="1" applyBorder="1" applyAlignment="1">
      <alignment vertical="top"/>
    </xf>
    <xf numFmtId="0" fontId="76" fillId="12" borderId="23" xfId="0" applyFont="1" applyFill="1" applyBorder="1" applyAlignment="1">
      <alignment vertical="top"/>
    </xf>
    <xf numFmtId="164" fontId="76" fillId="12" borderId="23" xfId="1" applyFont="1" applyFill="1" applyBorder="1" applyAlignment="1">
      <alignment vertical="top"/>
    </xf>
    <xf numFmtId="171" fontId="76" fillId="12" borderId="23" xfId="4" applyNumberFormat="1" applyFont="1" applyFill="1" applyBorder="1" applyAlignment="1">
      <alignment vertical="top"/>
    </xf>
    <xf numFmtId="2" fontId="78" fillId="0" borderId="2" xfId="0" applyNumberFormat="1" applyFont="1" applyBorder="1" applyAlignment="1">
      <alignment vertical="top"/>
    </xf>
    <xf numFmtId="1" fontId="78" fillId="0" borderId="2" xfId="0" applyNumberFormat="1" applyFont="1" applyBorder="1" applyAlignment="1">
      <alignment vertical="top"/>
    </xf>
    <xf numFmtId="10" fontId="78" fillId="0" borderId="2" xfId="4" applyNumberFormat="1" applyFont="1" applyBorder="1" applyAlignment="1">
      <alignment vertical="top"/>
    </xf>
    <xf numFmtId="166" fontId="78" fillId="0" borderId="2" xfId="0" applyNumberFormat="1" applyFont="1" applyBorder="1" applyAlignment="1">
      <alignment vertical="top"/>
    </xf>
    <xf numFmtId="43" fontId="78" fillId="0" borderId="2" xfId="0" applyNumberFormat="1" applyFont="1" applyBorder="1" applyAlignment="1">
      <alignment vertical="top"/>
    </xf>
    <xf numFmtId="9" fontId="78" fillId="0" borderId="19" xfId="4" applyFont="1" applyBorder="1" applyAlignment="1">
      <alignment vertical="top"/>
    </xf>
    <xf numFmtId="171" fontId="76" fillId="12" borderId="0" xfId="4" applyNumberFormat="1" applyFont="1" applyFill="1" applyAlignment="1">
      <alignment vertical="top"/>
    </xf>
    <xf numFmtId="164" fontId="76" fillId="12" borderId="0" xfId="1" applyFont="1" applyFill="1" applyAlignment="1">
      <alignment vertical="top"/>
    </xf>
    <xf numFmtId="0" fontId="78" fillId="12" borderId="0" xfId="0" applyFont="1" applyFill="1" applyAlignment="1">
      <alignment vertical="top"/>
    </xf>
    <xf numFmtId="164" fontId="78" fillId="12" borderId="0" xfId="1" applyFont="1" applyFill="1" applyBorder="1" applyAlignment="1">
      <alignment vertical="top"/>
    </xf>
    <xf numFmtId="171" fontId="76" fillId="0" borderId="0" xfId="4" applyNumberFormat="1" applyFont="1" applyFill="1" applyAlignment="1">
      <alignment vertical="top"/>
    </xf>
    <xf numFmtId="171" fontId="76" fillId="0" borderId="0" xfId="4" applyNumberFormat="1" applyFont="1" applyFill="1" applyBorder="1" applyAlignment="1">
      <alignment horizontal="right" vertical="top"/>
    </xf>
    <xf numFmtId="0" fontId="82" fillId="0" borderId="0" xfId="0" applyFont="1" applyAlignment="1">
      <alignment vertical="top"/>
    </xf>
    <xf numFmtId="0" fontId="83" fillId="0" borderId="0" xfId="0" applyFont="1" applyAlignment="1">
      <alignment vertical="top"/>
    </xf>
    <xf numFmtId="0" fontId="85" fillId="13" borderId="0" xfId="0" applyFont="1" applyFill="1" applyAlignment="1">
      <alignment horizontal="center" vertical="top"/>
    </xf>
    <xf numFmtId="0" fontId="84" fillId="13" borderId="0" xfId="0" applyFont="1" applyFill="1" applyAlignment="1">
      <alignment horizontal="center" vertical="top"/>
    </xf>
    <xf numFmtId="15" fontId="76" fillId="0" borderId="0" xfId="0" applyNumberFormat="1" applyFont="1"/>
    <xf numFmtId="0" fontId="86" fillId="0" borderId="0" xfId="0" applyFont="1"/>
    <xf numFmtId="2" fontId="83" fillId="0" borderId="0" xfId="0" applyNumberFormat="1" applyFont="1" applyAlignment="1">
      <alignment vertical="top"/>
    </xf>
    <xf numFmtId="166" fontId="83" fillId="0" borderId="0" xfId="0" applyNumberFormat="1" applyFont="1" applyAlignment="1">
      <alignment vertical="top"/>
    </xf>
    <xf numFmtId="9" fontId="83" fillId="0" borderId="0" xfId="0" applyNumberFormat="1" applyFont="1" applyAlignment="1">
      <alignment vertical="top"/>
    </xf>
    <xf numFmtId="17" fontId="83" fillId="0" borderId="0" xfId="0" applyNumberFormat="1" applyFont="1" applyAlignment="1">
      <alignment horizontal="left" vertical="top"/>
    </xf>
    <xf numFmtId="175" fontId="83" fillId="0" borderId="0" xfId="0" applyNumberFormat="1" applyFont="1" applyAlignment="1">
      <alignment vertical="top"/>
    </xf>
    <xf numFmtId="0" fontId="82" fillId="0" borderId="0" xfId="0" applyFont="1" applyAlignment="1">
      <alignment wrapText="1"/>
    </xf>
    <xf numFmtId="1" fontId="86" fillId="0" borderId="0" xfId="0" applyNumberFormat="1" applyFont="1"/>
    <xf numFmtId="1" fontId="83" fillId="0" borderId="0" xfId="0" applyNumberFormat="1" applyFont="1" applyAlignment="1">
      <alignment vertical="top"/>
    </xf>
    <xf numFmtId="3" fontId="83" fillId="0" borderId="0" xfId="0" applyNumberFormat="1" applyFont="1" applyAlignment="1">
      <alignment vertical="top"/>
    </xf>
    <xf numFmtId="0" fontId="39" fillId="0" borderId="0" xfId="0" applyFont="1" applyAlignment="1">
      <alignment vertical="top"/>
    </xf>
    <xf numFmtId="0" fontId="87" fillId="0" borderId="0" xfId="0" applyFont="1" applyAlignment="1">
      <alignment vertical="top"/>
    </xf>
    <xf numFmtId="0" fontId="25" fillId="0" borderId="10" xfId="0" applyFont="1" applyBorder="1"/>
    <xf numFmtId="0" fontId="88" fillId="0" borderId="0" xfId="0" applyFont="1" applyAlignment="1">
      <alignment vertical="top"/>
    </xf>
    <xf numFmtId="168" fontId="39" fillId="0" borderId="23" xfId="4" applyNumberFormat="1" applyFont="1" applyBorder="1"/>
    <xf numFmtId="168" fontId="25" fillId="0" borderId="0" xfId="0" applyNumberFormat="1" applyFont="1"/>
    <xf numFmtId="10" fontId="50" fillId="10" borderId="3" xfId="4" applyNumberFormat="1" applyFont="1" applyFill="1" applyBorder="1"/>
    <xf numFmtId="168" fontId="39" fillId="0" borderId="23" xfId="4" applyNumberFormat="1" applyFont="1" applyFill="1" applyBorder="1"/>
    <xf numFmtId="164" fontId="0" fillId="9" borderId="0" xfId="1" applyFont="1" applyFill="1"/>
    <xf numFmtId="0" fontId="11" fillId="0" borderId="0" xfId="0" applyFont="1"/>
    <xf numFmtId="0" fontId="11" fillId="0" borderId="0" xfId="0" applyFont="1" applyAlignment="1">
      <alignment vertical="center" wrapText="1"/>
    </xf>
    <xf numFmtId="10" fontId="11" fillId="0" borderId="0" xfId="0" applyNumberFormat="1" applyFont="1" applyAlignment="1">
      <alignment vertical="center" wrapText="1"/>
    </xf>
    <xf numFmtId="176" fontId="0" fillId="0" borderId="0" xfId="0" applyNumberFormat="1"/>
    <xf numFmtId="9" fontId="25" fillId="0" borderId="0" xfId="4" applyFont="1"/>
    <xf numFmtId="2" fontId="76" fillId="0" borderId="20" xfId="0" applyNumberFormat="1" applyFont="1" applyBorder="1" applyAlignment="1">
      <alignment vertical="top"/>
    </xf>
    <xf numFmtId="0" fontId="10" fillId="0" borderId="0" xfId="0" applyFont="1"/>
    <xf numFmtId="0" fontId="70" fillId="0" borderId="0" xfId="0" applyFont="1"/>
    <xf numFmtId="166" fontId="30" fillId="0" borderId="0" xfId="0" applyNumberFormat="1" applyFont="1" applyAlignment="1">
      <alignment horizontal="left" vertical="top"/>
    </xf>
    <xf numFmtId="0" fontId="70" fillId="0" borderId="1" xfId="0" applyFont="1" applyBorder="1"/>
    <xf numFmtId="0" fontId="25" fillId="0" borderId="23" xfId="0" applyFont="1" applyBorder="1"/>
    <xf numFmtId="9" fontId="0" fillId="0" borderId="0" xfId="4" applyFont="1" applyFill="1"/>
    <xf numFmtId="0" fontId="0" fillId="12" borderId="0" xfId="0" applyFill="1"/>
    <xf numFmtId="0" fontId="19" fillId="12" borderId="0" xfId="0" applyFont="1" applyFill="1"/>
    <xf numFmtId="0" fontId="59" fillId="12" borderId="0" xfId="0" applyFont="1" applyFill="1" applyAlignment="1">
      <alignment vertical="top" wrapText="1"/>
    </xf>
    <xf numFmtId="1" fontId="59" fillId="12" borderId="0" xfId="0" applyNumberFormat="1" applyFont="1" applyFill="1" applyAlignment="1">
      <alignment horizontal="right" vertical="top"/>
    </xf>
    <xf numFmtId="0" fontId="35" fillId="12" borderId="0" xfId="0" applyFont="1" applyFill="1" applyAlignment="1">
      <alignment vertical="top" wrapText="1"/>
    </xf>
    <xf numFmtId="166" fontId="35" fillId="12" borderId="0" xfId="0" applyNumberFormat="1" applyFont="1" applyFill="1" applyAlignment="1">
      <alignment horizontal="right" vertical="top" wrapText="1"/>
    </xf>
    <xf numFmtId="0" fontId="58" fillId="12" borderId="0" xfId="0" applyFont="1" applyFill="1" applyAlignment="1">
      <alignment vertical="top" wrapText="1"/>
    </xf>
    <xf numFmtId="1" fontId="63" fillId="12" borderId="0" xfId="0" applyNumberFormat="1" applyFont="1" applyFill="1" applyAlignment="1">
      <alignment horizontal="right" vertical="top"/>
    </xf>
    <xf numFmtId="3" fontId="60" fillId="12" borderId="0" xfId="0" applyNumberFormat="1" applyFont="1" applyFill="1"/>
    <xf numFmtId="0" fontId="35" fillId="12" borderId="0" xfId="0" applyFont="1" applyFill="1" applyAlignment="1">
      <alignment horizontal="left" vertical="top"/>
    </xf>
    <xf numFmtId="0" fontId="23" fillId="12" borderId="0" xfId="0" applyFont="1" applyFill="1" applyAlignment="1">
      <alignment vertical="top" wrapText="1"/>
    </xf>
    <xf numFmtId="37" fontId="23" fillId="12" borderId="0" xfId="0" applyNumberFormat="1" applyFont="1" applyFill="1" applyAlignment="1">
      <alignment horizontal="right" vertical="top"/>
    </xf>
    <xf numFmtId="37" fontId="59" fillId="12" borderId="1" xfId="0" applyNumberFormat="1" applyFont="1" applyFill="1" applyBorder="1" applyAlignment="1">
      <alignment horizontal="right" vertical="top"/>
    </xf>
    <xf numFmtId="37" fontId="63" fillId="12" borderId="0" xfId="0" applyNumberFormat="1" applyFont="1" applyFill="1" applyAlignment="1">
      <alignment horizontal="right" vertical="top"/>
    </xf>
    <xf numFmtId="0" fontId="29" fillId="12" borderId="0" xfId="0" applyFont="1" applyFill="1" applyAlignment="1">
      <alignment vertical="top" wrapText="1"/>
    </xf>
    <xf numFmtId="37" fontId="29" fillId="12" borderId="0" xfId="0" applyNumberFormat="1" applyFont="1" applyFill="1" applyAlignment="1">
      <alignment horizontal="right" vertical="top"/>
    </xf>
    <xf numFmtId="37" fontId="61" fillId="12" borderId="0" xfId="0" applyNumberFormat="1" applyFont="1" applyFill="1" applyAlignment="1">
      <alignment horizontal="right" vertical="top"/>
    </xf>
    <xf numFmtId="0" fontId="23" fillId="12" borderId="0" xfId="0" applyFont="1" applyFill="1" applyAlignment="1">
      <alignment horizontal="left" vertical="top"/>
    </xf>
    <xf numFmtId="37" fontId="91" fillId="12" borderId="0" xfId="0" applyNumberFormat="1" applyFont="1" applyFill="1" applyAlignment="1">
      <alignment horizontal="right" vertical="top"/>
    </xf>
    <xf numFmtId="37" fontId="58" fillId="12" borderId="23" xfId="0" applyNumberFormat="1" applyFont="1" applyFill="1" applyBorder="1" applyAlignment="1">
      <alignment horizontal="right" vertical="top"/>
    </xf>
    <xf numFmtId="37" fontId="58" fillId="12" borderId="0" xfId="0" applyNumberFormat="1" applyFont="1" applyFill="1" applyAlignment="1">
      <alignment horizontal="right" vertical="top"/>
    </xf>
    <xf numFmtId="0" fontId="11" fillId="12" borderId="0" xfId="0" applyFont="1" applyFill="1"/>
    <xf numFmtId="166" fontId="61" fillId="12" borderId="0" xfId="0" applyNumberFormat="1" applyFont="1" applyFill="1" applyAlignment="1">
      <alignment horizontal="right" vertical="top" wrapText="1"/>
    </xf>
    <xf numFmtId="0" fontId="58" fillId="12" borderId="0" xfId="0" applyFont="1" applyFill="1" applyAlignment="1">
      <alignment horizontal="left" vertical="top"/>
    </xf>
    <xf numFmtId="0" fontId="29" fillId="12" borderId="0" xfId="0" applyFont="1" applyFill="1" applyAlignment="1">
      <alignment horizontal="left" vertical="top"/>
    </xf>
    <xf numFmtId="0" fontId="29" fillId="12" borderId="0" xfId="0" applyFont="1" applyFill="1" applyAlignment="1">
      <alignment vertical="top"/>
    </xf>
    <xf numFmtId="172" fontId="23" fillId="12" borderId="0" xfId="0" applyNumberFormat="1" applyFont="1" applyFill="1" applyAlignment="1">
      <alignment horizontal="right" vertical="top"/>
    </xf>
    <xf numFmtId="0" fontId="34" fillId="12" borderId="0" xfId="0" applyFont="1" applyFill="1" applyAlignment="1">
      <alignment vertical="top"/>
    </xf>
    <xf numFmtId="0" fontId="18" fillId="12" borderId="0" xfId="0" applyFont="1" applyFill="1" applyAlignment="1">
      <alignment vertical="top"/>
    </xf>
    <xf numFmtId="171" fontId="0" fillId="12" borderId="0" xfId="4" applyNumberFormat="1" applyFont="1" applyFill="1"/>
    <xf numFmtId="9" fontId="0" fillId="12" borderId="0" xfId="4" applyFont="1" applyFill="1"/>
    <xf numFmtId="0" fontId="36" fillId="12" borderId="0" xfId="0" applyFont="1" applyFill="1" applyAlignment="1">
      <alignment vertical="top"/>
    </xf>
    <xf numFmtId="0" fontId="37" fillId="12" borderId="0" xfId="0" applyFont="1" applyFill="1" applyAlignment="1">
      <alignment vertical="top"/>
    </xf>
    <xf numFmtId="0" fontId="26" fillId="12" borderId="0" xfId="0" applyFont="1" applyFill="1" applyAlignment="1">
      <alignment vertical="top"/>
    </xf>
    <xf numFmtId="10" fontId="0" fillId="12" borderId="0" xfId="4" applyNumberFormat="1" applyFont="1" applyFill="1"/>
    <xf numFmtId="37" fontId="0" fillId="0" borderId="0" xfId="0" applyNumberFormat="1"/>
    <xf numFmtId="0" fontId="9" fillId="0" borderId="0" xfId="0" applyFont="1"/>
    <xf numFmtId="9" fontId="38" fillId="10" borderId="3" xfId="4" applyFont="1" applyFill="1" applyBorder="1"/>
    <xf numFmtId="0" fontId="0" fillId="5" borderId="0" xfId="0" applyFill="1"/>
    <xf numFmtId="171" fontId="38" fillId="10" borderId="3" xfId="4" applyNumberFormat="1" applyFont="1" applyFill="1" applyBorder="1"/>
    <xf numFmtId="0" fontId="92" fillId="12" borderId="0" xfId="0" applyFont="1" applyFill="1" applyAlignment="1">
      <alignment vertical="top" wrapText="1"/>
    </xf>
    <xf numFmtId="37" fontId="9" fillId="6" borderId="0" xfId="0" applyNumberFormat="1" applyFont="1" applyFill="1" applyAlignment="1">
      <alignment vertical="top"/>
    </xf>
    <xf numFmtId="37" fontId="59" fillId="12" borderId="0" xfId="0" applyNumberFormat="1" applyFont="1" applyFill="1" applyAlignment="1">
      <alignment horizontal="right" vertical="top"/>
    </xf>
    <xf numFmtId="15" fontId="21" fillId="17" borderId="0" xfId="0" applyNumberFormat="1" applyFont="1" applyFill="1" applyAlignment="1">
      <alignment horizontal="center" vertical="top" wrapText="1"/>
    </xf>
    <xf numFmtId="0" fontId="93" fillId="0" borderId="0" xfId="0" applyFont="1"/>
    <xf numFmtId="168" fontId="0" fillId="0" borderId="0" xfId="1" applyNumberFormat="1" applyFont="1" applyFill="1" applyBorder="1"/>
    <xf numFmtId="166" fontId="26" fillId="0" borderId="0" xfId="0" applyNumberFormat="1" applyFont="1"/>
    <xf numFmtId="168" fontId="0" fillId="0" borderId="0" xfId="0" applyNumberFormat="1"/>
    <xf numFmtId="168" fontId="25" fillId="0" borderId="23" xfId="1" applyNumberFormat="1" applyFont="1" applyFill="1" applyBorder="1"/>
    <xf numFmtId="168" fontId="25" fillId="0" borderId="0" xfId="1" applyNumberFormat="1" applyFont="1"/>
    <xf numFmtId="0" fontId="9" fillId="0" borderId="0" xfId="10"/>
    <xf numFmtId="168" fontId="0" fillId="0" borderId="0" xfId="11" applyNumberFormat="1" applyFont="1"/>
    <xf numFmtId="37" fontId="9" fillId="0" borderId="0" xfId="10" applyNumberFormat="1"/>
    <xf numFmtId="0" fontId="21" fillId="0" borderId="0" xfId="10" applyFont="1" applyAlignment="1">
      <alignment horizontal="center" vertical="center"/>
    </xf>
    <xf numFmtId="0" fontId="25" fillId="0" borderId="0" xfId="10" applyFont="1"/>
    <xf numFmtId="0" fontId="95" fillId="0" borderId="0" xfId="10" applyFont="1"/>
    <xf numFmtId="0" fontId="96" fillId="0" borderId="0" xfId="10" applyFont="1" applyAlignment="1">
      <alignment horizontal="center" vertical="center"/>
    </xf>
    <xf numFmtId="171" fontId="0" fillId="0" borderId="0" xfId="12" applyNumberFormat="1" applyFont="1"/>
    <xf numFmtId="0" fontId="97" fillId="0" borderId="0" xfId="10" applyFont="1"/>
    <xf numFmtId="10" fontId="0" fillId="0" borderId="0" xfId="12" applyNumberFormat="1" applyFont="1" applyFill="1" applyBorder="1"/>
    <xf numFmtId="2" fontId="0" fillId="0" borderId="0" xfId="12" applyNumberFormat="1" applyFont="1"/>
    <xf numFmtId="164" fontId="0" fillId="0" borderId="0" xfId="11" applyFont="1" applyFill="1" applyBorder="1"/>
    <xf numFmtId="0" fontId="97" fillId="0" borderId="0" xfId="10" applyFont="1" applyAlignment="1">
      <alignment horizontal="center" vertical="center"/>
    </xf>
    <xf numFmtId="0" fontId="99" fillId="0" borderId="0" xfId="10" applyFont="1"/>
    <xf numFmtId="168" fontId="9" fillId="0" borderId="0" xfId="10" applyNumberFormat="1"/>
    <xf numFmtId="168" fontId="25" fillId="0" borderId="23" xfId="10" applyNumberFormat="1" applyFont="1" applyBorder="1"/>
    <xf numFmtId="168" fontId="0" fillId="0" borderId="0" xfId="11" applyNumberFormat="1" applyFont="1" applyFill="1"/>
    <xf numFmtId="37" fontId="25" fillId="0" borderId="0" xfId="10" applyNumberFormat="1" applyFont="1"/>
    <xf numFmtId="15" fontId="21" fillId="17" borderId="0" xfId="10" applyNumberFormat="1" applyFont="1" applyFill="1" applyAlignment="1">
      <alignment horizontal="center" vertical="top" wrapText="1"/>
    </xf>
    <xf numFmtId="15" fontId="21" fillId="4" borderId="0" xfId="10" applyNumberFormat="1" applyFont="1" applyFill="1" applyAlignment="1">
      <alignment horizontal="center" vertical="top" wrapText="1"/>
    </xf>
    <xf numFmtId="0" fontId="100" fillId="3" borderId="0" xfId="10" applyFont="1" applyFill="1" applyAlignment="1">
      <alignment vertical="top"/>
    </xf>
    <xf numFmtId="0" fontId="100" fillId="3" borderId="0" xfId="10" applyFont="1" applyFill="1" applyAlignment="1">
      <alignment vertical="top" wrapText="1"/>
    </xf>
    <xf numFmtId="170" fontId="21" fillId="4" borderId="0" xfId="10" applyNumberFormat="1" applyFont="1" applyFill="1" applyAlignment="1">
      <alignment horizontal="center" vertical="top"/>
    </xf>
    <xf numFmtId="0" fontId="9" fillId="12" borderId="0" xfId="10" applyFill="1"/>
    <xf numFmtId="0" fontId="101" fillId="12" borderId="0" xfId="10" applyFont="1" applyFill="1" applyAlignment="1">
      <alignment vertical="top"/>
    </xf>
    <xf numFmtId="0" fontId="93" fillId="0" borderId="0" xfId="0" applyFont="1" applyAlignment="1">
      <alignment vertical="top"/>
    </xf>
    <xf numFmtId="0" fontId="34" fillId="0" borderId="0" xfId="0" applyFont="1" applyAlignment="1">
      <alignment vertical="top"/>
    </xf>
    <xf numFmtId="0" fontId="26" fillId="0" borderId="0" xfId="0" applyFont="1" applyAlignment="1">
      <alignment vertical="top"/>
    </xf>
    <xf numFmtId="178" fontId="18" fillId="0" borderId="0" xfId="0" applyNumberFormat="1" applyFont="1" applyAlignment="1">
      <alignment vertical="top"/>
    </xf>
    <xf numFmtId="178" fontId="38" fillId="10" borderId="3" xfId="4" applyNumberFormat="1" applyFont="1" applyFill="1" applyBorder="1"/>
    <xf numFmtId="0" fontId="0" fillId="19" borderId="0" xfId="0" applyFill="1"/>
    <xf numFmtId="1" fontId="0" fillId="19" borderId="0" xfId="0" applyNumberFormat="1" applyFill="1"/>
    <xf numFmtId="171" fontId="0" fillId="10" borderId="3" xfId="0" applyNumberFormat="1" applyFill="1" applyBorder="1"/>
    <xf numFmtId="0" fontId="97" fillId="0" borderId="0" xfId="10" applyFont="1" applyAlignment="1">
      <alignment horizontal="center"/>
    </xf>
    <xf numFmtId="0" fontId="8" fillId="0" borderId="0" xfId="0" applyFont="1"/>
    <xf numFmtId="168" fontId="25" fillId="0" borderId="0" xfId="1" applyNumberFormat="1" applyFont="1" applyFill="1"/>
    <xf numFmtId="168" fontId="25" fillId="0" borderId="23" xfId="1" applyNumberFormat="1" applyFont="1" applyBorder="1"/>
    <xf numFmtId="168" fontId="25" fillId="0" borderId="24" xfId="1" applyNumberFormat="1" applyFont="1" applyFill="1" applyBorder="1"/>
    <xf numFmtId="168" fontId="25" fillId="0" borderId="24" xfId="1" applyNumberFormat="1" applyFont="1" applyBorder="1"/>
    <xf numFmtId="0" fontId="102" fillId="0" borderId="0" xfId="0" applyFont="1"/>
    <xf numFmtId="0" fontId="106" fillId="0" borderId="0" xfId="0" applyFont="1"/>
    <xf numFmtId="168" fontId="107" fillId="0" borderId="0" xfId="1" applyNumberFormat="1" applyFont="1"/>
    <xf numFmtId="171" fontId="0" fillId="0" borderId="0" xfId="4" applyNumberFormat="1" applyFont="1" applyFill="1" applyBorder="1"/>
    <xf numFmtId="171" fontId="0" fillId="0" borderId="0" xfId="4" applyNumberFormat="1" applyFont="1" applyFill="1"/>
    <xf numFmtId="0" fontId="7" fillId="0" borderId="0" xfId="0" applyFont="1"/>
    <xf numFmtId="37" fontId="25" fillId="0" borderId="0" xfId="0" applyNumberFormat="1" applyFont="1"/>
    <xf numFmtId="9" fontId="0" fillId="0" borderId="0" xfId="0" applyNumberFormat="1"/>
    <xf numFmtId="37" fontId="25" fillId="0" borderId="23" xfId="0" applyNumberFormat="1" applyFont="1" applyBorder="1"/>
    <xf numFmtId="168" fontId="25" fillId="0" borderId="23" xfId="0" applyNumberFormat="1" applyFont="1" applyBorder="1"/>
    <xf numFmtId="37" fontId="25" fillId="0" borderId="24" xfId="0" applyNumberFormat="1" applyFont="1" applyBorder="1"/>
    <xf numFmtId="168" fontId="25" fillId="0" borderId="24" xfId="0" applyNumberFormat="1" applyFont="1" applyBorder="1"/>
    <xf numFmtId="167" fontId="28" fillId="0" borderId="0" xfId="0" applyNumberFormat="1" applyFont="1" applyAlignment="1">
      <alignment horizontal="center" vertical="top" wrapText="1"/>
    </xf>
    <xf numFmtId="171" fontId="0" fillId="0" borderId="0" xfId="4" applyNumberFormat="1" applyFont="1" applyBorder="1"/>
    <xf numFmtId="171" fontId="0" fillId="0" borderId="0" xfId="0" applyNumberFormat="1"/>
    <xf numFmtId="43" fontId="0" fillId="0" borderId="0" xfId="0" applyNumberFormat="1"/>
    <xf numFmtId="0" fontId="7" fillId="0" borderId="0" xfId="10" applyFont="1"/>
    <xf numFmtId="2" fontId="76" fillId="12" borderId="0" xfId="0" applyNumberFormat="1" applyFont="1" applyFill="1" applyAlignment="1">
      <alignment vertical="top"/>
    </xf>
    <xf numFmtId="10" fontId="79" fillId="12" borderId="0" xfId="4" applyNumberFormat="1" applyFont="1" applyFill="1" applyAlignment="1">
      <alignment horizontal="right" vertical="top"/>
    </xf>
    <xf numFmtId="10" fontId="79" fillId="12" borderId="0" xfId="4" applyNumberFormat="1" applyFont="1" applyFill="1" applyBorder="1" applyAlignment="1">
      <alignment horizontal="right" vertical="top"/>
    </xf>
    <xf numFmtId="0" fontId="0" fillId="12" borderId="0" xfId="0" applyFill="1" applyAlignment="1">
      <alignment vertical="center"/>
    </xf>
    <xf numFmtId="0" fontId="19" fillId="12" borderId="0" xfId="0" applyFont="1" applyFill="1" applyAlignment="1">
      <alignment vertical="top"/>
    </xf>
    <xf numFmtId="15" fontId="93" fillId="0" borderId="0" xfId="0" applyNumberFormat="1" applyFont="1" applyAlignment="1">
      <alignment horizontal="center" vertical="top" wrapText="1"/>
    </xf>
    <xf numFmtId="15" fontId="19" fillId="12" borderId="0" xfId="0" applyNumberFormat="1" applyFont="1" applyFill="1" applyAlignment="1">
      <alignment vertical="top"/>
    </xf>
    <xf numFmtId="10" fontId="20" fillId="12" borderId="0" xfId="4" applyNumberFormat="1" applyFont="1" applyFill="1" applyAlignment="1">
      <alignment horizontal="center" vertical="center"/>
    </xf>
    <xf numFmtId="9" fontId="20" fillId="12" borderId="0" xfId="4" applyFont="1" applyFill="1" applyAlignment="1">
      <alignment horizontal="center" vertical="center"/>
    </xf>
    <xf numFmtId="0" fontId="20" fillId="12" borderId="0" xfId="0" applyFont="1" applyFill="1" applyAlignment="1">
      <alignment vertical="top"/>
    </xf>
    <xf numFmtId="0" fontId="108" fillId="12" borderId="0" xfId="0" applyFont="1" applyFill="1" applyAlignment="1">
      <alignment vertical="top"/>
    </xf>
    <xf numFmtId="15" fontId="29" fillId="12" borderId="0" xfId="0" applyNumberFormat="1" applyFont="1" applyFill="1" applyAlignment="1">
      <alignment horizontal="center" vertical="top" wrapText="1"/>
    </xf>
    <xf numFmtId="15" fontId="29" fillId="0" borderId="0" xfId="0" applyNumberFormat="1" applyFont="1" applyAlignment="1">
      <alignment horizontal="center" vertical="center"/>
    </xf>
    <xf numFmtId="15" fontId="21" fillId="2" borderId="0" xfId="0" applyNumberFormat="1" applyFont="1" applyFill="1" applyAlignment="1">
      <alignment horizontal="center" vertical="center"/>
    </xf>
    <xf numFmtId="166" fontId="19" fillId="12" borderId="0" xfId="1" applyNumberFormat="1" applyFont="1" applyFill="1" applyAlignment="1">
      <alignment vertical="top"/>
    </xf>
    <xf numFmtId="1" fontId="19" fillId="12" borderId="0" xfId="0" applyNumberFormat="1" applyFont="1" applyFill="1" applyAlignment="1">
      <alignment vertical="top"/>
    </xf>
    <xf numFmtId="166" fontId="20" fillId="12" borderId="23" xfId="1" applyNumberFormat="1" applyFont="1" applyFill="1" applyBorder="1" applyAlignment="1">
      <alignment vertical="top"/>
    </xf>
    <xf numFmtId="0" fontId="19" fillId="12" borderId="0" xfId="0" applyFont="1" applyFill="1" applyAlignment="1">
      <alignment horizontal="left" vertical="top"/>
    </xf>
    <xf numFmtId="166" fontId="19" fillId="12" borderId="0" xfId="1" applyNumberFormat="1" applyFont="1" applyFill="1" applyAlignment="1">
      <alignment horizontal="left" vertical="top"/>
    </xf>
    <xf numFmtId="168" fontId="19" fillId="12" borderId="0" xfId="1" applyNumberFormat="1" applyFont="1" applyFill="1" applyAlignment="1">
      <alignment horizontal="left" vertical="top"/>
    </xf>
    <xf numFmtId="0" fontId="7" fillId="12" borderId="0" xfId="0" applyFont="1" applyFill="1" applyAlignment="1">
      <alignment vertical="center"/>
    </xf>
    <xf numFmtId="10" fontId="19" fillId="0" borderId="0" xfId="0" applyNumberFormat="1" applyFont="1" applyAlignment="1">
      <alignment vertical="top"/>
    </xf>
    <xf numFmtId="179" fontId="19" fillId="12" borderId="0" xfId="1" applyNumberFormat="1" applyFont="1" applyFill="1" applyAlignment="1">
      <alignment vertical="top"/>
    </xf>
    <xf numFmtId="171" fontId="19" fillId="12" borderId="0" xfId="0" applyNumberFormat="1" applyFont="1" applyFill="1" applyAlignment="1">
      <alignment vertical="top"/>
    </xf>
    <xf numFmtId="2" fontId="20" fillId="12" borderId="0" xfId="0" applyNumberFormat="1" applyFont="1" applyFill="1" applyAlignment="1">
      <alignment vertical="top"/>
    </xf>
    <xf numFmtId="9" fontId="19" fillId="12" borderId="0" xfId="0" applyNumberFormat="1" applyFont="1" applyFill="1" applyAlignment="1">
      <alignment vertical="top"/>
    </xf>
    <xf numFmtId="164" fontId="19" fillId="12" borderId="0" xfId="1" applyFont="1" applyFill="1" applyAlignment="1">
      <alignment vertical="top"/>
    </xf>
    <xf numFmtId="166" fontId="19" fillId="12" borderId="0" xfId="1" applyNumberFormat="1" applyFont="1" applyFill="1" applyBorder="1" applyAlignment="1">
      <alignment vertical="top"/>
    </xf>
    <xf numFmtId="166" fontId="20" fillId="20" borderId="30" xfId="0" applyNumberFormat="1" applyFont="1" applyFill="1" applyBorder="1" applyAlignment="1">
      <alignment vertical="top"/>
    </xf>
    <xf numFmtId="166" fontId="20" fillId="12" borderId="0" xfId="1" applyNumberFormat="1" applyFont="1" applyFill="1" applyAlignment="1">
      <alignment vertical="top"/>
    </xf>
    <xf numFmtId="43" fontId="20" fillId="20" borderId="3" xfId="0" applyNumberFormat="1" applyFont="1" applyFill="1" applyBorder="1" applyAlignment="1">
      <alignment vertical="top"/>
    </xf>
    <xf numFmtId="10" fontId="19" fillId="12" borderId="2" xfId="0" applyNumberFormat="1" applyFont="1" applyFill="1" applyBorder="1" applyAlignment="1">
      <alignment vertical="top"/>
    </xf>
    <xf numFmtId="10" fontId="19" fillId="12" borderId="20" xfId="0" applyNumberFormat="1" applyFont="1" applyFill="1" applyBorder="1" applyAlignment="1">
      <alignment vertical="top"/>
    </xf>
    <xf numFmtId="177" fontId="19" fillId="12" borderId="0" xfId="1" applyNumberFormat="1" applyFont="1" applyFill="1" applyAlignment="1">
      <alignment vertical="top"/>
    </xf>
    <xf numFmtId="9" fontId="19" fillId="12" borderId="0" xfId="4" applyFont="1" applyFill="1" applyAlignment="1">
      <alignment vertical="top"/>
    </xf>
    <xf numFmtId="177" fontId="19" fillId="12" borderId="0" xfId="0" applyNumberFormat="1" applyFont="1" applyFill="1" applyAlignment="1">
      <alignment vertical="top"/>
    </xf>
    <xf numFmtId="177" fontId="19" fillId="12" borderId="26" xfId="1" applyNumberFormat="1" applyFont="1" applyFill="1" applyBorder="1" applyAlignment="1">
      <alignment vertical="top"/>
    </xf>
    <xf numFmtId="177" fontId="19" fillId="12" borderId="23" xfId="1" applyNumberFormat="1" applyFont="1" applyFill="1" applyBorder="1" applyAlignment="1">
      <alignment vertical="top"/>
    </xf>
    <xf numFmtId="177" fontId="19" fillId="12" borderId="27" xfId="1" applyNumberFormat="1" applyFont="1" applyFill="1" applyBorder="1" applyAlignment="1">
      <alignment vertical="top"/>
    </xf>
    <xf numFmtId="177" fontId="19" fillId="12" borderId="0" xfId="1" applyNumberFormat="1" applyFont="1" applyFill="1" applyBorder="1" applyAlignment="1">
      <alignment vertical="top"/>
    </xf>
    <xf numFmtId="177" fontId="19" fillId="12" borderId="21" xfId="1" applyNumberFormat="1" applyFont="1" applyFill="1" applyBorder="1" applyAlignment="1">
      <alignment vertical="top"/>
    </xf>
    <xf numFmtId="177" fontId="19" fillId="12" borderId="20" xfId="1" applyNumberFormat="1" applyFont="1" applyFill="1" applyBorder="1" applyAlignment="1">
      <alignment vertical="top"/>
    </xf>
    <xf numFmtId="177" fontId="19" fillId="12" borderId="18" xfId="1" applyNumberFormat="1" applyFont="1" applyFill="1" applyBorder="1" applyAlignment="1">
      <alignment vertical="top"/>
    </xf>
    <xf numFmtId="177" fontId="19" fillId="12" borderId="2" xfId="1" applyNumberFormat="1" applyFont="1" applyFill="1" applyBorder="1" applyAlignment="1">
      <alignment vertical="top"/>
    </xf>
    <xf numFmtId="177" fontId="19" fillId="12" borderId="19" xfId="1" applyNumberFormat="1" applyFont="1" applyFill="1" applyBorder="1" applyAlignment="1">
      <alignment vertical="top"/>
    </xf>
    <xf numFmtId="10" fontId="19" fillId="12" borderId="0" xfId="0" applyNumberFormat="1" applyFont="1" applyFill="1" applyAlignment="1">
      <alignment vertical="top"/>
    </xf>
    <xf numFmtId="181" fontId="19" fillId="12" borderId="20" xfId="1" applyNumberFormat="1" applyFont="1" applyFill="1" applyBorder="1" applyAlignment="1">
      <alignment vertical="top"/>
    </xf>
    <xf numFmtId="164" fontId="38" fillId="10" borderId="3" xfId="4" applyNumberFormat="1" applyFont="1" applyFill="1" applyBorder="1"/>
    <xf numFmtId="0" fontId="25" fillId="19" borderId="22" xfId="0" applyFont="1" applyFill="1" applyBorder="1"/>
    <xf numFmtId="37" fontId="0" fillId="19" borderId="0" xfId="0" applyNumberFormat="1" applyFill="1"/>
    <xf numFmtId="1" fontId="25" fillId="19" borderId="23" xfId="0" applyNumberFormat="1" applyFont="1" applyFill="1" applyBorder="1"/>
    <xf numFmtId="1" fontId="25" fillId="19" borderId="22" xfId="0" applyNumberFormat="1" applyFont="1" applyFill="1" applyBorder="1"/>
    <xf numFmtId="0" fontId="48" fillId="12" borderId="0" xfId="0" applyFont="1" applyFill="1"/>
    <xf numFmtId="0" fontId="17" fillId="12" borderId="0" xfId="0" applyFont="1" applyFill="1"/>
    <xf numFmtId="1" fontId="7" fillId="11" borderId="0" xfId="0" applyNumberFormat="1" applyFont="1" applyFill="1"/>
    <xf numFmtId="1" fontId="0" fillId="11" borderId="0" xfId="0" applyNumberFormat="1" applyFill="1"/>
    <xf numFmtId="0" fontId="0" fillId="11" borderId="23" xfId="0" applyFill="1" applyBorder="1"/>
    <xf numFmtId="0" fontId="109" fillId="0" borderId="0" xfId="0" applyFont="1"/>
    <xf numFmtId="10" fontId="67" fillId="0" borderId="0" xfId="4" applyNumberFormat="1" applyFont="1"/>
    <xf numFmtId="0" fontId="6" fillId="0" borderId="0" xfId="0" applyFont="1"/>
    <xf numFmtId="0" fontId="25" fillId="0" borderId="38" xfId="0" applyFont="1" applyBorder="1"/>
    <xf numFmtId="0" fontId="0" fillId="0" borderId="38" xfId="0" applyBorder="1"/>
    <xf numFmtId="2" fontId="25" fillId="0" borderId="38" xfId="0" applyNumberFormat="1" applyFont="1" applyBorder="1"/>
    <xf numFmtId="0" fontId="25" fillId="0" borderId="0" xfId="0" applyFont="1" applyAlignment="1">
      <alignment horizontal="center" vertical="center"/>
    </xf>
    <xf numFmtId="0" fontId="0" fillId="22" borderId="0" xfId="0" applyFill="1"/>
    <xf numFmtId="0" fontId="110" fillId="23" borderId="35" xfId="0" applyFont="1" applyFill="1" applyBorder="1"/>
    <xf numFmtId="0" fontId="0" fillId="24" borderId="0" xfId="0" applyFill="1"/>
    <xf numFmtId="0" fontId="0" fillId="24" borderId="33" xfId="0" applyFill="1" applyBorder="1"/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111" fillId="0" borderId="0" xfId="0" applyFont="1"/>
    <xf numFmtId="0" fontId="0" fillId="0" borderId="13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10" fontId="80" fillId="12" borderId="23" xfId="4" applyNumberFormat="1" applyFont="1" applyFill="1" applyBorder="1" applyAlignment="1">
      <alignment horizontal="right" vertical="top"/>
    </xf>
    <xf numFmtId="0" fontId="112" fillId="17" borderId="0" xfId="14" applyFont="1" applyFill="1"/>
    <xf numFmtId="0" fontId="113" fillId="17" borderId="0" xfId="14" applyFont="1" applyFill="1"/>
    <xf numFmtId="0" fontId="5" fillId="0" borderId="0" xfId="14"/>
    <xf numFmtId="0" fontId="114" fillId="17" borderId="0" xfId="14" applyFont="1" applyFill="1"/>
    <xf numFmtId="0" fontId="113" fillId="0" borderId="0" xfId="14" applyFont="1"/>
    <xf numFmtId="0" fontId="115" fillId="17" borderId="40" xfId="14" applyFont="1" applyFill="1" applyBorder="1"/>
    <xf numFmtId="0" fontId="114" fillId="17" borderId="41" xfId="14" applyFont="1" applyFill="1" applyBorder="1"/>
    <xf numFmtId="0" fontId="114" fillId="17" borderId="42" xfId="14" applyFont="1" applyFill="1" applyBorder="1"/>
    <xf numFmtId="0" fontId="113" fillId="0" borderId="43" xfId="14" applyFont="1" applyBorder="1"/>
    <xf numFmtId="0" fontId="113" fillId="25" borderId="44" xfId="14" applyFont="1" applyFill="1" applyBorder="1" applyAlignment="1">
      <alignment horizontal="center"/>
    </xf>
    <xf numFmtId="15" fontId="113" fillId="25" borderId="44" xfId="14" applyNumberFormat="1" applyFont="1" applyFill="1" applyBorder="1" applyAlignment="1">
      <alignment horizontal="center"/>
    </xf>
    <xf numFmtId="182" fontId="113" fillId="25" borderId="44" xfId="14" applyNumberFormat="1" applyFont="1" applyFill="1" applyBorder="1" applyAlignment="1">
      <alignment horizontal="center"/>
    </xf>
    <xf numFmtId="0" fontId="113" fillId="0" borderId="45" xfId="14" applyFont="1" applyBorder="1"/>
    <xf numFmtId="0" fontId="113" fillId="0" borderId="46" xfId="14" applyFont="1" applyBorder="1"/>
    <xf numFmtId="9" fontId="113" fillId="25" borderId="47" xfId="14" applyNumberFormat="1" applyFont="1" applyFill="1" applyBorder="1" applyAlignment="1">
      <alignment horizontal="center"/>
    </xf>
    <xf numFmtId="10" fontId="113" fillId="0" borderId="0" xfId="14" applyNumberFormat="1" applyFont="1"/>
    <xf numFmtId="14" fontId="113" fillId="0" borderId="0" xfId="14" applyNumberFormat="1" applyFont="1"/>
    <xf numFmtId="0" fontId="115" fillId="17" borderId="48" xfId="14" applyFont="1" applyFill="1" applyBorder="1"/>
    <xf numFmtId="0" fontId="115" fillId="17" borderId="49" xfId="14" applyFont="1" applyFill="1" applyBorder="1"/>
    <xf numFmtId="0" fontId="115" fillId="17" borderId="49" xfId="14" applyFont="1" applyFill="1" applyBorder="1" applyAlignment="1">
      <alignment horizontal="center"/>
    </xf>
    <xf numFmtId="0" fontId="115" fillId="17" borderId="50" xfId="14" applyFont="1" applyFill="1" applyBorder="1"/>
    <xf numFmtId="0" fontId="113" fillId="0" borderId="44" xfId="14" applyFont="1" applyBorder="1"/>
    <xf numFmtId="16" fontId="113" fillId="0" borderId="0" xfId="14" applyNumberFormat="1" applyFont="1"/>
    <xf numFmtId="166" fontId="113" fillId="25" borderId="0" xfId="14" applyNumberFormat="1" applyFont="1" applyFill="1"/>
    <xf numFmtId="166" fontId="113" fillId="0" borderId="44" xfId="14" applyNumberFormat="1" applyFont="1" applyBorder="1"/>
    <xf numFmtId="166" fontId="113" fillId="26" borderId="0" xfId="14" applyNumberFormat="1" applyFont="1" applyFill="1"/>
    <xf numFmtId="166" fontId="116" fillId="27" borderId="30" xfId="14" applyNumberFormat="1" applyFont="1" applyFill="1" applyBorder="1"/>
    <xf numFmtId="166" fontId="113" fillId="0" borderId="0" xfId="14" applyNumberFormat="1" applyFont="1"/>
    <xf numFmtId="166" fontId="113" fillId="25" borderId="44" xfId="14" applyNumberFormat="1" applyFont="1" applyFill="1" applyBorder="1"/>
    <xf numFmtId="0" fontId="113" fillId="0" borderId="43" xfId="14" quotePrefix="1" applyFont="1" applyBorder="1"/>
    <xf numFmtId="166" fontId="113" fillId="26" borderId="44" xfId="14" applyNumberFormat="1" applyFont="1" applyFill="1" applyBorder="1"/>
    <xf numFmtId="166" fontId="117" fillId="25" borderId="0" xfId="14" applyNumberFormat="1" applyFont="1" applyFill="1"/>
    <xf numFmtId="0" fontId="117" fillId="0" borderId="0" xfId="14" applyFont="1"/>
    <xf numFmtId="166" fontId="117" fillId="26" borderId="0" xfId="14" applyNumberFormat="1" applyFont="1" applyFill="1"/>
    <xf numFmtId="0" fontId="113" fillId="0" borderId="0" xfId="14" applyFont="1" applyAlignment="1">
      <alignment horizontal="center"/>
    </xf>
    <xf numFmtId="0" fontId="116" fillId="0" borderId="51" xfId="14" applyFont="1" applyBorder="1"/>
    <xf numFmtId="0" fontId="116" fillId="0" borderId="52" xfId="14" applyFont="1" applyBorder="1"/>
    <xf numFmtId="166" fontId="116" fillId="0" borderId="52" xfId="14" applyNumberFormat="1" applyFont="1" applyBorder="1"/>
    <xf numFmtId="1" fontId="113" fillId="0" borderId="0" xfId="14" applyNumberFormat="1" applyFont="1"/>
    <xf numFmtId="0" fontId="118" fillId="0" borderId="43" xfId="14" applyFont="1" applyBorder="1"/>
    <xf numFmtId="0" fontId="116" fillId="0" borderId="0" xfId="14" applyFont="1"/>
    <xf numFmtId="166" fontId="116" fillId="0" borderId="0" xfId="14" applyNumberFormat="1" applyFont="1"/>
    <xf numFmtId="2" fontId="116" fillId="27" borderId="30" xfId="14" applyNumberFormat="1" applyFont="1" applyFill="1" applyBorder="1"/>
    <xf numFmtId="166" fontId="117" fillId="0" borderId="0" xfId="14" applyNumberFormat="1" applyFont="1"/>
    <xf numFmtId="17" fontId="113" fillId="0" borderId="0" xfId="14" applyNumberFormat="1" applyFont="1"/>
    <xf numFmtId="0" fontId="113" fillId="17" borderId="49" xfId="14" applyFont="1" applyFill="1" applyBorder="1"/>
    <xf numFmtId="0" fontId="115" fillId="17" borderId="35" xfId="14" applyFont="1" applyFill="1" applyBorder="1"/>
    <xf numFmtId="0" fontId="115" fillId="17" borderId="15" xfId="14" applyFont="1" applyFill="1" applyBorder="1"/>
    <xf numFmtId="0" fontId="113" fillId="17" borderId="15" xfId="14" applyFont="1" applyFill="1" applyBorder="1"/>
    <xf numFmtId="0" fontId="113" fillId="17" borderId="34" xfId="14" applyFont="1" applyFill="1" applyBorder="1"/>
    <xf numFmtId="0" fontId="119" fillId="0" borderId="0" xfId="14" applyFont="1"/>
    <xf numFmtId="0" fontId="113" fillId="0" borderId="0" xfId="14" applyFont="1" applyAlignment="1">
      <alignment horizontal="right"/>
    </xf>
    <xf numFmtId="0" fontId="113" fillId="0" borderId="35" xfId="14" applyFont="1" applyBorder="1" applyAlignment="1">
      <alignment horizontal="right"/>
    </xf>
    <xf numFmtId="0" fontId="113" fillId="0" borderId="15" xfId="14" applyFont="1" applyBorder="1"/>
    <xf numFmtId="0" fontId="113" fillId="0" borderId="15" xfId="14" applyFont="1" applyBorder="1" applyAlignment="1">
      <alignment horizontal="center"/>
    </xf>
    <xf numFmtId="0" fontId="113" fillId="0" borderId="53" xfId="14" applyFont="1" applyBorder="1" applyAlignment="1">
      <alignment horizontal="center"/>
    </xf>
    <xf numFmtId="0" fontId="113" fillId="0" borderId="34" xfId="14" applyFont="1" applyBorder="1" applyAlignment="1">
      <alignment horizontal="center"/>
    </xf>
    <xf numFmtId="0" fontId="5" fillId="0" borderId="10" xfId="14" applyBorder="1"/>
    <xf numFmtId="0" fontId="113" fillId="0" borderId="33" xfId="14" applyFont="1" applyBorder="1" applyAlignment="1">
      <alignment horizontal="center"/>
    </xf>
    <xf numFmtId="0" fontId="113" fillId="0" borderId="0" xfId="14" applyFont="1" applyAlignment="1">
      <alignment horizontal="left"/>
    </xf>
    <xf numFmtId="177" fontId="113" fillId="0" borderId="0" xfId="14" applyNumberFormat="1" applyFont="1"/>
    <xf numFmtId="177" fontId="113" fillId="25" borderId="54" xfId="14" applyNumberFormat="1" applyFont="1" applyFill="1" applyBorder="1"/>
    <xf numFmtId="177" fontId="113" fillId="26" borderId="56" xfId="14" applyNumberFormat="1" applyFont="1" applyFill="1" applyBorder="1"/>
    <xf numFmtId="0" fontId="5" fillId="0" borderId="13" xfId="14" applyBorder="1"/>
    <xf numFmtId="0" fontId="113" fillId="0" borderId="57" xfId="14" applyFont="1" applyBorder="1"/>
    <xf numFmtId="0" fontId="113" fillId="0" borderId="58" xfId="14" applyFont="1" applyBorder="1" applyAlignment="1">
      <alignment horizontal="right"/>
    </xf>
    <xf numFmtId="177" fontId="113" fillId="26" borderId="59" xfId="14" applyNumberFormat="1" applyFont="1" applyFill="1" applyBorder="1"/>
    <xf numFmtId="0" fontId="115" fillId="17" borderId="60" xfId="14" applyFont="1" applyFill="1" applyBorder="1"/>
    <xf numFmtId="0" fontId="113" fillId="17" borderId="61" xfId="14" applyFont="1" applyFill="1" applyBorder="1"/>
    <xf numFmtId="0" fontId="113" fillId="17" borderId="62" xfId="14" applyFont="1" applyFill="1" applyBorder="1"/>
    <xf numFmtId="0" fontId="117" fillId="0" borderId="63" xfId="14" applyFont="1" applyBorder="1"/>
    <xf numFmtId="0" fontId="117" fillId="0" borderId="41" xfId="14" applyFont="1" applyBorder="1"/>
    <xf numFmtId="0" fontId="113" fillId="0" borderId="41" xfId="14" applyFont="1" applyBorder="1"/>
    <xf numFmtId="0" fontId="120" fillId="0" borderId="0" xfId="14" applyFont="1"/>
    <xf numFmtId="0" fontId="117" fillId="0" borderId="10" xfId="14" applyFont="1" applyBorder="1"/>
    <xf numFmtId="0" fontId="117" fillId="0" borderId="0" xfId="14" applyFont="1" applyAlignment="1">
      <alignment horizontal="right"/>
    </xf>
    <xf numFmtId="164" fontId="113" fillId="0" borderId="0" xfId="14" applyNumberFormat="1" applyFont="1"/>
    <xf numFmtId="0" fontId="113" fillId="0" borderId="54" xfId="14" applyFont="1" applyBorder="1"/>
    <xf numFmtId="164" fontId="113" fillId="26" borderId="56" xfId="14" applyNumberFormat="1" applyFont="1" applyFill="1" applyBorder="1"/>
    <xf numFmtId="0" fontId="113" fillId="0" borderId="13" xfId="14" applyFont="1" applyBorder="1"/>
    <xf numFmtId="166" fontId="113" fillId="0" borderId="32" xfId="14" applyNumberFormat="1" applyFont="1" applyBorder="1"/>
    <xf numFmtId="164" fontId="113" fillId="26" borderId="31" xfId="14" applyNumberFormat="1" applyFont="1" applyFill="1" applyBorder="1"/>
    <xf numFmtId="0" fontId="115" fillId="18" borderId="0" xfId="14" applyFont="1" applyFill="1" applyAlignment="1">
      <alignment horizontal="center"/>
    </xf>
    <xf numFmtId="0" fontId="115" fillId="17" borderId="0" xfId="14" applyFont="1" applyFill="1"/>
    <xf numFmtId="0" fontId="115" fillId="17" borderId="0" xfId="14" applyFont="1" applyFill="1" applyAlignment="1">
      <alignment horizontal="center"/>
    </xf>
    <xf numFmtId="166" fontId="113" fillId="28" borderId="30" xfId="14" applyNumberFormat="1" applyFont="1" applyFill="1" applyBorder="1"/>
    <xf numFmtId="10" fontId="113" fillId="28" borderId="30" xfId="15" applyNumberFormat="1" applyFont="1" applyFill="1" applyBorder="1"/>
    <xf numFmtId="0" fontId="121" fillId="0" borderId="0" xfId="14" applyFont="1"/>
    <xf numFmtId="166" fontId="113" fillId="26" borderId="65" xfId="14" applyNumberFormat="1" applyFont="1" applyFill="1" applyBorder="1"/>
    <xf numFmtId="166" fontId="113" fillId="26" borderId="66" xfId="14" applyNumberFormat="1" applyFont="1" applyFill="1" applyBorder="1"/>
    <xf numFmtId="166" fontId="121" fillId="26" borderId="3" xfId="14" applyNumberFormat="1" applyFont="1" applyFill="1" applyBorder="1"/>
    <xf numFmtId="166" fontId="113" fillId="25" borderId="3" xfId="14" applyNumberFormat="1" applyFont="1" applyFill="1" applyBorder="1"/>
    <xf numFmtId="166" fontId="116" fillId="26" borderId="3" xfId="14" applyNumberFormat="1" applyFont="1" applyFill="1" applyBorder="1"/>
    <xf numFmtId="164" fontId="116" fillId="26" borderId="3" xfId="14" applyNumberFormat="1" applyFont="1" applyFill="1" applyBorder="1"/>
    <xf numFmtId="43" fontId="116" fillId="27" borderId="30" xfId="14" applyNumberFormat="1" applyFont="1" applyFill="1" applyBorder="1"/>
    <xf numFmtId="43" fontId="113" fillId="25" borderId="3" xfId="14" applyNumberFormat="1" applyFont="1" applyFill="1" applyBorder="1"/>
    <xf numFmtId="43" fontId="113" fillId="25" borderId="0" xfId="14" applyNumberFormat="1" applyFont="1" applyFill="1"/>
    <xf numFmtId="43" fontId="113" fillId="26" borderId="0" xfId="14" applyNumberFormat="1" applyFont="1" applyFill="1"/>
    <xf numFmtId="3" fontId="113" fillId="0" borderId="0" xfId="14" applyNumberFormat="1" applyFont="1"/>
    <xf numFmtId="2" fontId="113" fillId="0" borderId="0" xfId="14" applyNumberFormat="1" applyFont="1"/>
    <xf numFmtId="0" fontId="113" fillId="0" borderId="38" xfId="14" applyFont="1" applyBorder="1" applyAlignment="1">
      <alignment horizontal="center"/>
    </xf>
    <xf numFmtId="0" fontId="113" fillId="0" borderId="38" xfId="14" applyFont="1" applyBorder="1" applyAlignment="1">
      <alignment horizontal="right"/>
    </xf>
    <xf numFmtId="177" fontId="113" fillId="25" borderId="29" xfId="14" applyNumberFormat="1" applyFont="1" applyFill="1" applyBorder="1"/>
    <xf numFmtId="177" fontId="113" fillId="25" borderId="3" xfId="14" applyNumberFormat="1" applyFont="1" applyFill="1" applyBorder="1"/>
    <xf numFmtId="177" fontId="113" fillId="26" borderId="3" xfId="14" applyNumberFormat="1" applyFont="1" applyFill="1" applyBorder="1" applyAlignment="1">
      <alignment horizontal="center"/>
    </xf>
    <xf numFmtId="177" fontId="113" fillId="26" borderId="3" xfId="14" applyNumberFormat="1" applyFont="1" applyFill="1" applyBorder="1"/>
    <xf numFmtId="166" fontId="113" fillId="26" borderId="3" xfId="14" applyNumberFormat="1" applyFont="1" applyFill="1" applyBorder="1"/>
    <xf numFmtId="164" fontId="113" fillId="25" borderId="3" xfId="14" applyNumberFormat="1" applyFont="1" applyFill="1" applyBorder="1"/>
    <xf numFmtId="164" fontId="113" fillId="26" borderId="3" xfId="14" applyNumberFormat="1" applyFont="1" applyFill="1" applyBorder="1"/>
    <xf numFmtId="182" fontId="113" fillId="0" borderId="0" xfId="14" applyNumberFormat="1" applyFont="1" applyAlignment="1">
      <alignment horizontal="center"/>
    </xf>
    <xf numFmtId="166" fontId="113" fillId="25" borderId="28" xfId="14" applyNumberFormat="1" applyFont="1" applyFill="1" applyBorder="1" applyAlignment="1">
      <alignment wrapText="1"/>
    </xf>
    <xf numFmtId="166" fontId="121" fillId="26" borderId="28" xfId="14" applyNumberFormat="1" applyFont="1" applyFill="1" applyBorder="1"/>
    <xf numFmtId="166" fontId="113" fillId="26" borderId="9" xfId="14" applyNumberFormat="1" applyFont="1" applyFill="1" applyBorder="1"/>
    <xf numFmtId="43" fontId="122" fillId="25" borderId="0" xfId="14" applyNumberFormat="1" applyFont="1" applyFill="1"/>
    <xf numFmtId="166" fontId="122" fillId="25" borderId="0" xfId="14" applyNumberFormat="1" applyFont="1" applyFill="1"/>
    <xf numFmtId="0" fontId="122" fillId="0" borderId="44" xfId="14" applyFont="1" applyBorder="1"/>
    <xf numFmtId="166" fontId="122" fillId="0" borderId="44" xfId="14" applyNumberFormat="1" applyFont="1" applyBorder="1"/>
    <xf numFmtId="166" fontId="122" fillId="26" borderId="0" xfId="14" applyNumberFormat="1" applyFont="1" applyFill="1"/>
    <xf numFmtId="0" fontId="123" fillId="0" borderId="0" xfId="14" applyFont="1"/>
    <xf numFmtId="10" fontId="124" fillId="0" borderId="0" xfId="14" applyNumberFormat="1" applyFont="1"/>
    <xf numFmtId="0" fontId="124" fillId="0" borderId="0" xfId="14" applyFont="1"/>
    <xf numFmtId="43" fontId="125" fillId="27" borderId="30" xfId="14" applyNumberFormat="1" applyFont="1" applyFill="1" applyBorder="1"/>
    <xf numFmtId="0" fontId="122" fillId="0" borderId="0" xfId="14" applyFont="1"/>
    <xf numFmtId="166" fontId="122" fillId="0" borderId="0" xfId="14" applyNumberFormat="1" applyFont="1"/>
    <xf numFmtId="43" fontId="122" fillId="25" borderId="44" xfId="14" applyNumberFormat="1" applyFont="1" applyFill="1" applyBorder="1"/>
    <xf numFmtId="43" fontId="122" fillId="26" borderId="44" xfId="14" applyNumberFormat="1" applyFont="1" applyFill="1" applyBorder="1"/>
    <xf numFmtId="166" fontId="126" fillId="25" borderId="0" xfId="14" applyNumberFormat="1" applyFont="1" applyFill="1"/>
    <xf numFmtId="43" fontId="122" fillId="0" borderId="44" xfId="14" applyNumberFormat="1" applyFont="1" applyBorder="1"/>
    <xf numFmtId="166" fontId="126" fillId="26" borderId="0" xfId="14" applyNumberFormat="1" applyFont="1" applyFill="1"/>
    <xf numFmtId="166" fontId="122" fillId="26" borderId="44" xfId="14" applyNumberFormat="1" applyFont="1" applyFill="1" applyBorder="1"/>
    <xf numFmtId="2" fontId="126" fillId="25" borderId="0" xfId="14" applyNumberFormat="1" applyFont="1" applyFill="1"/>
    <xf numFmtId="14" fontId="122" fillId="0" borderId="0" xfId="14" applyNumberFormat="1" applyFont="1"/>
    <xf numFmtId="2" fontId="122" fillId="0" borderId="0" xfId="14" applyNumberFormat="1" applyFont="1"/>
    <xf numFmtId="2" fontId="122" fillId="25" borderId="44" xfId="14" applyNumberFormat="1" applyFont="1" applyFill="1" applyBorder="1"/>
    <xf numFmtId="166" fontId="125" fillId="0" borderId="52" xfId="14" applyNumberFormat="1" applyFont="1" applyBorder="1"/>
    <xf numFmtId="166" fontId="125" fillId="0" borderId="0" xfId="14" applyNumberFormat="1" applyFont="1"/>
    <xf numFmtId="166" fontId="125" fillId="27" borderId="30" xfId="14" applyNumberFormat="1" applyFont="1" applyFill="1" applyBorder="1"/>
    <xf numFmtId="0" fontId="122" fillId="0" borderId="46" xfId="14" applyFont="1" applyBorder="1"/>
    <xf numFmtId="166" fontId="126" fillId="0" borderId="0" xfId="14" applyNumberFormat="1" applyFont="1"/>
    <xf numFmtId="177" fontId="122" fillId="25" borderId="54" xfId="14" applyNumberFormat="1" applyFont="1" applyFill="1" applyBorder="1"/>
    <xf numFmtId="183" fontId="122" fillId="25" borderId="29" xfId="14" applyNumberFormat="1" applyFont="1" applyFill="1" applyBorder="1"/>
    <xf numFmtId="177" fontId="122" fillId="25" borderId="3" xfId="14" applyNumberFormat="1" applyFont="1" applyFill="1" applyBorder="1"/>
    <xf numFmtId="177" fontId="122" fillId="26" borderId="3" xfId="14" applyNumberFormat="1" applyFont="1" applyFill="1" applyBorder="1" applyAlignment="1">
      <alignment horizontal="center"/>
    </xf>
    <xf numFmtId="177" fontId="122" fillId="26" borderId="3" xfId="14" applyNumberFormat="1" applyFont="1" applyFill="1" applyBorder="1"/>
    <xf numFmtId="166" fontId="122" fillId="26" borderId="3" xfId="14" applyNumberFormat="1" applyFont="1" applyFill="1" applyBorder="1"/>
    <xf numFmtId="177" fontId="122" fillId="26" borderId="56" xfId="14" applyNumberFormat="1" applyFont="1" applyFill="1" applyBorder="1"/>
    <xf numFmtId="43" fontId="122" fillId="26" borderId="56" xfId="14" applyNumberFormat="1" applyFont="1" applyFill="1" applyBorder="1"/>
    <xf numFmtId="177" fontId="122" fillId="25" borderId="29" xfId="14" applyNumberFormat="1" applyFont="1" applyFill="1" applyBorder="1"/>
    <xf numFmtId="0" fontId="122" fillId="0" borderId="57" xfId="14" applyFont="1" applyBorder="1"/>
    <xf numFmtId="0" fontId="122" fillId="0" borderId="58" xfId="14" applyFont="1" applyBorder="1" applyAlignment="1">
      <alignment horizontal="right"/>
    </xf>
    <xf numFmtId="43" fontId="122" fillId="26" borderId="59" xfId="14" applyNumberFormat="1" applyFont="1" applyFill="1" applyBorder="1"/>
    <xf numFmtId="14" fontId="122" fillId="0" borderId="0" xfId="14" applyNumberFormat="1" applyFont="1" applyAlignment="1">
      <alignment horizontal="center"/>
    </xf>
    <xf numFmtId="166" fontId="122" fillId="25" borderId="3" xfId="14" applyNumberFormat="1" applyFont="1" applyFill="1" applyBorder="1"/>
    <xf numFmtId="166" fontId="122" fillId="28" borderId="30" xfId="14" applyNumberFormat="1" applyFont="1" applyFill="1" applyBorder="1"/>
    <xf numFmtId="0" fontId="125" fillId="0" borderId="0" xfId="14" applyFont="1"/>
    <xf numFmtId="177" fontId="127" fillId="26" borderId="3" xfId="14" applyNumberFormat="1" applyFont="1" applyFill="1" applyBorder="1"/>
    <xf numFmtId="166" fontId="127" fillId="26" borderId="3" xfId="14" applyNumberFormat="1" applyFont="1" applyFill="1" applyBorder="1"/>
    <xf numFmtId="166" fontId="122" fillId="26" borderId="9" xfId="14" applyNumberFormat="1" applyFont="1" applyFill="1" applyBorder="1"/>
    <xf numFmtId="166" fontId="122" fillId="26" borderId="65" xfId="14" applyNumberFormat="1" applyFont="1" applyFill="1" applyBorder="1"/>
    <xf numFmtId="166" fontId="122" fillId="26" borderId="66" xfId="14" applyNumberFormat="1" applyFont="1" applyFill="1" applyBorder="1"/>
    <xf numFmtId="166" fontId="125" fillId="26" borderId="3" xfId="14" applyNumberFormat="1" applyFont="1" applyFill="1" applyBorder="1"/>
    <xf numFmtId="164" fontId="125" fillId="26" borderId="3" xfId="14" applyNumberFormat="1" applyFont="1" applyFill="1" applyBorder="1"/>
    <xf numFmtId="3" fontId="5" fillId="6" borderId="0" xfId="14" applyNumberFormat="1" applyFill="1"/>
    <xf numFmtId="14" fontId="5" fillId="0" borderId="0" xfId="14" applyNumberFormat="1"/>
    <xf numFmtId="14" fontId="25" fillId="0" borderId="0" xfId="14" applyNumberFormat="1" applyFont="1"/>
    <xf numFmtId="184" fontId="113" fillId="26" borderId="3" xfId="14" applyNumberFormat="1" applyFont="1" applyFill="1" applyBorder="1"/>
    <xf numFmtId="185" fontId="113" fillId="26" borderId="3" xfId="14" applyNumberFormat="1" applyFont="1" applyFill="1" applyBorder="1"/>
    <xf numFmtId="0" fontId="113" fillId="12" borderId="0" xfId="14" applyFont="1" applyFill="1"/>
    <xf numFmtId="166" fontId="113" fillId="29" borderId="3" xfId="14" applyNumberFormat="1" applyFont="1" applyFill="1" applyBorder="1"/>
    <xf numFmtId="166" fontId="113" fillId="29" borderId="28" xfId="14" applyNumberFormat="1" applyFont="1" applyFill="1" applyBorder="1" applyAlignment="1">
      <alignment wrapText="1"/>
    </xf>
    <xf numFmtId="166" fontId="113" fillId="12" borderId="0" xfId="14" applyNumberFormat="1" applyFont="1" applyFill="1"/>
    <xf numFmtId="1" fontId="116" fillId="0" borderId="0" xfId="14" applyNumberFormat="1" applyFont="1"/>
    <xf numFmtId="166" fontId="113" fillId="30" borderId="3" xfId="14" applyNumberFormat="1" applyFont="1" applyFill="1" applyBorder="1"/>
    <xf numFmtId="1" fontId="25" fillId="19" borderId="7" xfId="0" applyNumberFormat="1" applyFont="1" applyFill="1" applyBorder="1"/>
    <xf numFmtId="0" fontId="0" fillId="19" borderId="7" xfId="0" applyFill="1" applyBorder="1"/>
    <xf numFmtId="177" fontId="19" fillId="12" borderId="39" xfId="1" applyNumberFormat="1" applyFont="1" applyFill="1" applyBorder="1" applyAlignment="1">
      <alignment vertical="top"/>
    </xf>
    <xf numFmtId="1" fontId="75" fillId="0" borderId="0" xfId="0" applyNumberFormat="1" applyFont="1" applyAlignment="1">
      <alignment vertical="top"/>
    </xf>
    <xf numFmtId="1" fontId="76" fillId="0" borderId="0" xfId="0" applyNumberFormat="1" applyFont="1"/>
    <xf numFmtId="0" fontId="128" fillId="0" borderId="0" xfId="14" applyFont="1"/>
    <xf numFmtId="0" fontId="129" fillId="0" borderId="0" xfId="0" applyFont="1"/>
    <xf numFmtId="0" fontId="4" fillId="0" borderId="0" xfId="0" applyFont="1"/>
    <xf numFmtId="0" fontId="26" fillId="31" borderId="0" xfId="0" applyFont="1" applyFill="1"/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23" fillId="0" borderId="0" xfId="0" applyFont="1"/>
    <xf numFmtId="9" fontId="26" fillId="31" borderId="0" xfId="0" applyNumberFormat="1" applyFont="1" applyFill="1"/>
    <xf numFmtId="0" fontId="26" fillId="31" borderId="0" xfId="0" applyFont="1" applyFill="1" applyAlignment="1">
      <alignment horizontal="left"/>
    </xf>
    <xf numFmtId="0" fontId="26" fillId="31" borderId="0" xfId="0" applyFont="1" applyFill="1" applyAlignment="1">
      <alignment horizontal="center"/>
    </xf>
    <xf numFmtId="176" fontId="130" fillId="31" borderId="0" xfId="0" applyNumberFormat="1" applyFont="1" applyFill="1"/>
    <xf numFmtId="168" fontId="26" fillId="0" borderId="0" xfId="0" applyNumberFormat="1" applyFont="1"/>
    <xf numFmtId="2" fontId="26" fillId="0" borderId="0" xfId="0" applyNumberFormat="1" applyFont="1"/>
    <xf numFmtId="10" fontId="26" fillId="0" borderId="0" xfId="4" applyNumberFormat="1" applyFont="1"/>
    <xf numFmtId="181" fontId="26" fillId="0" borderId="0" xfId="0" applyNumberFormat="1" applyFont="1"/>
    <xf numFmtId="181" fontId="26" fillId="0" borderId="0" xfId="0" applyNumberFormat="1" applyFont="1" applyAlignment="1">
      <alignment horizontal="center"/>
    </xf>
    <xf numFmtId="181" fontId="26" fillId="0" borderId="68" xfId="0" applyNumberFormat="1" applyFont="1" applyBorder="1" applyAlignment="1">
      <alignment horizontal="center"/>
    </xf>
    <xf numFmtId="181" fontId="26" fillId="31" borderId="69" xfId="0" applyNumberFormat="1" applyFont="1" applyFill="1" applyBorder="1" applyAlignment="1">
      <alignment horizontal="center"/>
    </xf>
    <xf numFmtId="181" fontId="26" fillId="32" borderId="0" xfId="0" applyNumberFormat="1" applyFont="1" applyFill="1" applyAlignment="1">
      <alignment horizontal="center"/>
    </xf>
    <xf numFmtId="181" fontId="26" fillId="0" borderId="70" xfId="0" applyNumberFormat="1" applyFont="1" applyBorder="1" applyAlignment="1">
      <alignment horizontal="center"/>
    </xf>
    <xf numFmtId="181" fontId="26" fillId="31" borderId="71" xfId="0" applyNumberFormat="1" applyFont="1" applyFill="1" applyBorder="1" applyAlignment="1">
      <alignment horizontal="center"/>
    </xf>
    <xf numFmtId="181" fontId="26" fillId="0" borderId="71" xfId="0" applyNumberFormat="1" applyFont="1" applyBorder="1" applyAlignment="1">
      <alignment horizontal="center"/>
    </xf>
    <xf numFmtId="181" fontId="26" fillId="0" borderId="48" xfId="0" applyNumberFormat="1" applyFont="1" applyBorder="1" applyAlignment="1">
      <alignment horizontal="center"/>
    </xf>
    <xf numFmtId="181" fontId="26" fillId="0" borderId="45" xfId="0" applyNumberFormat="1" applyFont="1" applyBorder="1" applyAlignment="1">
      <alignment horizontal="center"/>
    </xf>
    <xf numFmtId="181" fontId="26" fillId="31" borderId="72" xfId="0" applyNumberFormat="1" applyFont="1" applyFill="1" applyBorder="1" applyAlignment="1">
      <alignment horizontal="center"/>
    </xf>
    <xf numFmtId="175" fontId="26" fillId="0" borderId="0" xfId="0" applyNumberFormat="1" applyFont="1"/>
    <xf numFmtId="1" fontId="26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181" fontId="26" fillId="0" borderId="0" xfId="0" applyNumberFormat="1" applyFont="1" applyAlignment="1">
      <alignment horizontal="center" vertical="center"/>
    </xf>
    <xf numFmtId="2" fontId="125" fillId="27" borderId="30" xfId="14" applyNumberFormat="1" applyFont="1" applyFill="1" applyBorder="1"/>
    <xf numFmtId="9" fontId="26" fillId="0" borderId="0" xfId="4" applyFont="1"/>
    <xf numFmtId="43" fontId="26" fillId="0" borderId="0" xfId="0" applyNumberFormat="1" applyFont="1"/>
    <xf numFmtId="0" fontId="25" fillId="33" borderId="0" xfId="0" applyFont="1" applyFill="1"/>
    <xf numFmtId="0" fontId="0" fillId="33" borderId="0" xfId="0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2" fillId="17" borderId="0" xfId="0" applyFont="1" applyFill="1" applyAlignment="1">
      <alignment horizontal="center"/>
    </xf>
    <xf numFmtId="0" fontId="32" fillId="17" borderId="0" xfId="0" applyFont="1" applyFill="1" applyAlignment="1">
      <alignment horizontal="center" wrapText="1"/>
    </xf>
    <xf numFmtId="9" fontId="26" fillId="34" borderId="0" xfId="0" applyNumberFormat="1" applyFont="1" applyFill="1" applyAlignment="1">
      <alignment horizontal="center"/>
    </xf>
    <xf numFmtId="0" fontId="26" fillId="0" borderId="0" xfId="0" applyFont="1" applyAlignment="1">
      <alignment horizontal="center" wrapText="1"/>
    </xf>
    <xf numFmtId="181" fontId="130" fillId="31" borderId="0" xfId="0" applyNumberFormat="1" applyFont="1" applyFill="1" applyAlignment="1">
      <alignment horizontal="center" vertical="center"/>
    </xf>
    <xf numFmtId="186" fontId="26" fillId="36" borderId="36" xfId="0" applyNumberFormat="1" applyFont="1" applyFill="1" applyBorder="1"/>
    <xf numFmtId="186" fontId="26" fillId="36" borderId="30" xfId="0" applyNumberFormat="1" applyFont="1" applyFill="1" applyBorder="1"/>
    <xf numFmtId="186" fontId="26" fillId="36" borderId="0" xfId="0" applyNumberFormat="1" applyFont="1" applyFill="1"/>
    <xf numFmtId="186" fontId="0" fillId="0" borderId="0" xfId="0" applyNumberFormat="1"/>
    <xf numFmtId="0" fontId="0" fillId="16" borderId="0" xfId="0" applyFill="1"/>
    <xf numFmtId="0" fontId="4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166" fontId="122" fillId="0" borderId="55" xfId="14" applyNumberFormat="1" applyFont="1" applyBorder="1" applyAlignment="1">
      <alignment horizontal="center" vertical="center"/>
    </xf>
    <xf numFmtId="10" fontId="122" fillId="0" borderId="55" xfId="14" applyNumberFormat="1" applyFont="1" applyBorder="1" applyAlignment="1">
      <alignment horizontal="center" vertical="center"/>
    </xf>
    <xf numFmtId="14" fontId="122" fillId="0" borderId="55" xfId="14" applyNumberFormat="1" applyFont="1" applyBorder="1" applyAlignment="1">
      <alignment horizontal="center" vertical="center"/>
    </xf>
    <xf numFmtId="0" fontId="122" fillId="0" borderId="55" xfId="14" applyFont="1" applyBorder="1" applyAlignment="1">
      <alignment horizontal="center" vertical="center"/>
    </xf>
    <xf numFmtId="14" fontId="122" fillId="0" borderId="9" xfId="14" applyNumberFormat="1" applyFont="1" applyBorder="1" applyAlignment="1">
      <alignment horizontal="center" vertical="center"/>
    </xf>
    <xf numFmtId="166" fontId="121" fillId="0" borderId="36" xfId="14" applyNumberFormat="1" applyFont="1" applyBorder="1" applyAlignment="1">
      <alignment horizontal="center" vertical="center"/>
    </xf>
    <xf numFmtId="166" fontId="121" fillId="0" borderId="37" xfId="14" applyNumberFormat="1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175" fontId="0" fillId="0" borderId="0" xfId="0" applyNumberFormat="1" applyAlignment="1">
      <alignment horizontal="center"/>
    </xf>
    <xf numFmtId="0" fontId="133" fillId="0" borderId="0" xfId="0" applyFont="1"/>
    <xf numFmtId="2" fontId="133" fillId="0" borderId="0" xfId="0" applyNumberFormat="1" applyFont="1"/>
    <xf numFmtId="175" fontId="133" fillId="0" borderId="0" xfId="0" applyNumberFormat="1" applyFont="1"/>
    <xf numFmtId="9" fontId="133" fillId="0" borderId="0" xfId="4" applyFont="1"/>
    <xf numFmtId="2" fontId="24" fillId="0" borderId="0" xfId="0" applyNumberFormat="1" applyFont="1"/>
    <xf numFmtId="175" fontId="24" fillId="0" borderId="0" xfId="0" applyNumberFormat="1" applyFont="1"/>
    <xf numFmtId="10" fontId="24" fillId="0" borderId="0" xfId="4" applyNumberFormat="1" applyFont="1"/>
    <xf numFmtId="16" fontId="0" fillId="0" borderId="0" xfId="0" applyNumberFormat="1"/>
    <xf numFmtId="10" fontId="79" fillId="12" borderId="25" xfId="4" applyNumberFormat="1" applyFont="1" applyFill="1" applyBorder="1" applyAlignment="1">
      <alignment horizontal="right" vertical="top"/>
    </xf>
    <xf numFmtId="14" fontId="113" fillId="0" borderId="55" xfId="14" applyNumberFormat="1" applyFont="1" applyBorder="1"/>
    <xf numFmtId="0" fontId="113" fillId="0" borderId="55" xfId="14" applyFont="1" applyBorder="1"/>
    <xf numFmtId="166" fontId="113" fillId="0" borderId="55" xfId="14" applyNumberFormat="1" applyFont="1" applyBorder="1"/>
    <xf numFmtId="2" fontId="113" fillId="0" borderId="55" xfId="14" applyNumberFormat="1" applyFont="1" applyBorder="1"/>
    <xf numFmtId="10" fontId="9" fillId="0" borderId="0" xfId="10" applyNumberFormat="1"/>
    <xf numFmtId="1" fontId="25" fillId="0" borderId="7" xfId="0" applyNumberFormat="1" applyFont="1" applyBorder="1"/>
    <xf numFmtId="0" fontId="3" fillId="0" borderId="0" xfId="10" applyFont="1"/>
    <xf numFmtId="15" fontId="9" fillId="0" borderId="0" xfId="10" applyNumberFormat="1"/>
    <xf numFmtId="10" fontId="9" fillId="0" borderId="0" xfId="4" applyNumberFormat="1" applyFont="1"/>
    <xf numFmtId="1" fontId="9" fillId="0" borderId="0" xfId="10" applyNumberFormat="1"/>
    <xf numFmtId="2" fontId="9" fillId="0" borderId="0" xfId="10" applyNumberFormat="1"/>
    <xf numFmtId="2" fontId="0" fillId="10" borderId="3" xfId="0" applyNumberFormat="1" applyFill="1" applyBorder="1"/>
    <xf numFmtId="0" fontId="3" fillId="0" borderId="0" xfId="0" applyFont="1"/>
    <xf numFmtId="0" fontId="134" fillId="0" borderId="0" xfId="16" applyAlignment="1">
      <alignment vertical="center"/>
    </xf>
    <xf numFmtId="0" fontId="2" fillId="0" borderId="0" xfId="0" applyFont="1"/>
    <xf numFmtId="1" fontId="0" fillId="0" borderId="0" xfId="0" applyNumberFormat="1" applyAlignment="1">
      <alignment horizontal="center"/>
    </xf>
    <xf numFmtId="1" fontId="25" fillId="0" borderId="0" xfId="0" applyNumberFormat="1" applyFont="1" applyAlignment="1">
      <alignment horizontal="center"/>
    </xf>
    <xf numFmtId="37" fontId="26" fillId="0" borderId="0" xfId="0" applyNumberFormat="1" applyFont="1" applyAlignment="1">
      <alignment horizontal="right" vertical="top"/>
    </xf>
    <xf numFmtId="0" fontId="19" fillId="21" borderId="55" xfId="0" applyFont="1" applyFill="1" applyBorder="1" applyAlignment="1">
      <alignment vertical="top"/>
    </xf>
    <xf numFmtId="0" fontId="20" fillId="21" borderId="55" xfId="0" applyFont="1" applyFill="1" applyBorder="1" applyAlignment="1">
      <alignment vertical="top"/>
    </xf>
    <xf numFmtId="0" fontId="22" fillId="2" borderId="55" xfId="0" applyFont="1" applyFill="1" applyBorder="1" applyAlignment="1">
      <alignment vertical="top"/>
    </xf>
    <xf numFmtId="166" fontId="22" fillId="2" borderId="55" xfId="1" applyNumberFormat="1" applyFont="1" applyFill="1" applyBorder="1" applyAlignment="1">
      <alignment horizontal="center" vertical="top" wrapText="1"/>
    </xf>
    <xf numFmtId="166" fontId="22" fillId="2" borderId="55" xfId="1" applyNumberFormat="1" applyFont="1" applyFill="1" applyBorder="1" applyAlignment="1">
      <alignment vertical="top"/>
    </xf>
    <xf numFmtId="43" fontId="19" fillId="21" borderId="55" xfId="1" applyNumberFormat="1" applyFont="1" applyFill="1" applyBorder="1" applyAlignment="1">
      <alignment horizontal="center" vertical="center"/>
    </xf>
    <xf numFmtId="166" fontId="19" fillId="21" borderId="55" xfId="1" applyNumberFormat="1" applyFont="1" applyFill="1" applyBorder="1" applyAlignment="1">
      <alignment horizontal="center" vertical="center"/>
    </xf>
    <xf numFmtId="166" fontId="20" fillId="21" borderId="55" xfId="1" applyNumberFormat="1" applyFont="1" applyFill="1" applyBorder="1" applyAlignment="1">
      <alignment horizontal="center" vertical="center"/>
    </xf>
    <xf numFmtId="180" fontId="20" fillId="21" borderId="55" xfId="1" applyNumberFormat="1" applyFont="1" applyFill="1" applyBorder="1" applyAlignment="1">
      <alignment horizontal="center" vertical="center"/>
    </xf>
    <xf numFmtId="10" fontId="19" fillId="21" borderId="55" xfId="4" applyNumberFormat="1" applyFont="1" applyFill="1" applyBorder="1" applyAlignment="1" applyProtection="1">
      <alignment horizontal="right" wrapText="1"/>
    </xf>
    <xf numFmtId="166" fontId="19" fillId="21" borderId="55" xfId="1" applyNumberFormat="1" applyFont="1" applyFill="1" applyBorder="1" applyAlignment="1">
      <alignment horizontal="left"/>
    </xf>
    <xf numFmtId="0" fontId="136" fillId="0" borderId="0" xfId="0" applyFont="1"/>
    <xf numFmtId="166" fontId="26" fillId="35" borderId="0" xfId="0" applyNumberFormat="1" applyFont="1" applyFill="1" applyAlignment="1">
      <alignment horizontal="center"/>
    </xf>
    <xf numFmtId="0" fontId="130" fillId="31" borderId="0" xfId="0" applyFont="1" applyFill="1" applyAlignment="1">
      <alignment horizontal="center"/>
    </xf>
    <xf numFmtId="1" fontId="130" fillId="31" borderId="0" xfId="0" applyNumberFormat="1" applyFont="1" applyFill="1" applyAlignment="1">
      <alignment horizontal="center"/>
    </xf>
    <xf numFmtId="0" fontId="131" fillId="17" borderId="0" xfId="0" applyFont="1" applyFill="1" applyAlignment="1">
      <alignment horizontal="center"/>
    </xf>
    <xf numFmtId="0" fontId="32" fillId="17" borderId="67" xfId="0" applyFont="1" applyFill="1" applyBorder="1"/>
    <xf numFmtId="0" fontId="25" fillId="0" borderId="73" xfId="0" applyFont="1" applyBorder="1"/>
    <xf numFmtId="1" fontId="25" fillId="19" borderId="73" xfId="0" applyNumberFormat="1" applyFont="1" applyFill="1" applyBorder="1"/>
    <xf numFmtId="168" fontId="0" fillId="12" borderId="0" xfId="1" applyNumberFormat="1" applyFont="1" applyFill="1"/>
    <xf numFmtId="168" fontId="0" fillId="12" borderId="2" xfId="1" applyNumberFormat="1" applyFont="1" applyFill="1" applyBorder="1"/>
    <xf numFmtId="168" fontId="0" fillId="12" borderId="0" xfId="1" applyNumberFormat="1" applyFont="1" applyFill="1" applyBorder="1"/>
    <xf numFmtId="168" fontId="25" fillId="12" borderId="0" xfId="1" applyNumberFormat="1" applyFont="1" applyFill="1" applyBorder="1"/>
    <xf numFmtId="166" fontId="26" fillId="12" borderId="0" xfId="0" applyNumberFormat="1" applyFont="1" applyFill="1"/>
    <xf numFmtId="166" fontId="93" fillId="12" borderId="0" xfId="0" applyNumberFormat="1" applyFont="1" applyFill="1"/>
    <xf numFmtId="166" fontId="93" fillId="12" borderId="39" xfId="0" applyNumberFormat="1" applyFont="1" applyFill="1" applyBorder="1"/>
    <xf numFmtId="0" fontId="0" fillId="12" borderId="2" xfId="0" applyFill="1" applyBorder="1"/>
    <xf numFmtId="0" fontId="21" fillId="3" borderId="26" xfId="0" applyFont="1" applyFill="1" applyBorder="1" applyAlignment="1">
      <alignment vertical="top"/>
    </xf>
    <xf numFmtId="0" fontId="0" fillId="12" borderId="39" xfId="0" applyFill="1" applyBorder="1"/>
    <xf numFmtId="0" fontId="0" fillId="12" borderId="27" xfId="0" applyFill="1" applyBorder="1"/>
    <xf numFmtId="0" fontId="18" fillId="0" borderId="21" xfId="0" applyFont="1" applyBorder="1" applyAlignment="1">
      <alignment vertical="top"/>
    </xf>
    <xf numFmtId="0" fontId="0" fillId="12" borderId="20" xfId="0" applyFill="1" applyBorder="1"/>
    <xf numFmtId="170" fontId="21" fillId="4" borderId="20" xfId="0" applyNumberFormat="1" applyFont="1" applyFill="1" applyBorder="1" applyAlignment="1">
      <alignment horizontal="center" vertical="top"/>
    </xf>
    <xf numFmtId="15" fontId="21" fillId="17" borderId="20" xfId="0" applyNumberFormat="1" applyFont="1" applyFill="1" applyBorder="1" applyAlignment="1">
      <alignment horizontal="center" vertical="top" wrapText="1"/>
    </xf>
    <xf numFmtId="0" fontId="26" fillId="12" borderId="21" xfId="0" applyFont="1" applyFill="1" applyBorder="1"/>
    <xf numFmtId="0" fontId="93" fillId="12" borderId="21" xfId="0" applyFont="1" applyFill="1" applyBorder="1"/>
    <xf numFmtId="0" fontId="26" fillId="12" borderId="21" xfId="0" applyFont="1" applyFill="1" applyBorder="1" applyAlignment="1">
      <alignment horizontal="left"/>
    </xf>
    <xf numFmtId="168" fontId="0" fillId="12" borderId="20" xfId="1" applyNumberFormat="1" applyFont="1" applyFill="1" applyBorder="1"/>
    <xf numFmtId="0" fontId="93" fillId="12" borderId="21" xfId="0" applyFont="1" applyFill="1" applyBorder="1" applyAlignment="1">
      <alignment horizontal="left"/>
    </xf>
    <xf numFmtId="168" fontId="0" fillId="12" borderId="19" xfId="1" applyNumberFormat="1" applyFont="1" applyFill="1" applyBorder="1"/>
    <xf numFmtId="166" fontId="93" fillId="12" borderId="20" xfId="0" applyNumberFormat="1" applyFont="1" applyFill="1" applyBorder="1"/>
    <xf numFmtId="166" fontId="26" fillId="12" borderId="20" xfId="0" applyNumberFormat="1" applyFont="1" applyFill="1" applyBorder="1"/>
    <xf numFmtId="166" fontId="93" fillId="12" borderId="27" xfId="0" applyNumberFormat="1" applyFont="1" applyFill="1" applyBorder="1"/>
    <xf numFmtId="0" fontId="0" fillId="12" borderId="19" xfId="0" applyFill="1" applyBorder="1"/>
    <xf numFmtId="168" fontId="25" fillId="12" borderId="39" xfId="1" applyNumberFormat="1" applyFont="1" applyFill="1" applyBorder="1"/>
    <xf numFmtId="168" fontId="25" fillId="12" borderId="20" xfId="1" applyNumberFormat="1" applyFont="1" applyFill="1" applyBorder="1"/>
    <xf numFmtId="168" fontId="25" fillId="12" borderId="73" xfId="1" applyNumberFormat="1" applyFont="1" applyFill="1" applyBorder="1"/>
    <xf numFmtId="168" fontId="25" fillId="12" borderId="74" xfId="1" applyNumberFormat="1" applyFont="1" applyFill="1" applyBorder="1"/>
    <xf numFmtId="0" fontId="0" fillId="12" borderId="18" xfId="0" applyFill="1" applyBorder="1"/>
    <xf numFmtId="0" fontId="25" fillId="12" borderId="0" xfId="0" applyFont="1" applyFill="1"/>
    <xf numFmtId="0" fontId="134" fillId="0" borderId="0" xfId="16"/>
    <xf numFmtId="0" fontId="0" fillId="12" borderId="10" xfId="0" applyFill="1" applyBorder="1"/>
    <xf numFmtId="0" fontId="0" fillId="12" borderId="0" xfId="0" applyFill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187" fontId="0" fillId="37" borderId="0" xfId="0" applyNumberFormat="1" applyFill="1" applyAlignment="1">
      <alignment horizontal="center" vertical="center"/>
    </xf>
    <xf numFmtId="0" fontId="0" fillId="38" borderId="10" xfId="0" applyFill="1" applyBorder="1"/>
    <xf numFmtId="0" fontId="22" fillId="39" borderId="13" xfId="0" applyFont="1" applyFill="1" applyBorder="1"/>
    <xf numFmtId="2" fontId="25" fillId="38" borderId="0" xfId="0" applyNumberFormat="1" applyFont="1" applyFill="1" applyAlignment="1">
      <alignment horizontal="center" vertical="center"/>
    </xf>
    <xf numFmtId="10" fontId="25" fillId="38" borderId="0" xfId="4" applyNumberFormat="1" applyFont="1" applyFill="1" applyBorder="1" applyAlignment="1">
      <alignment horizontal="center" vertical="center"/>
    </xf>
    <xf numFmtId="0" fontId="110" fillId="39" borderId="35" xfId="0" applyFont="1" applyFill="1" applyBorder="1" applyAlignment="1">
      <alignment horizontal="left" vertical="center" wrapText="1"/>
    </xf>
    <xf numFmtId="0" fontId="22" fillId="39" borderId="15" xfId="0" applyFont="1" applyFill="1" applyBorder="1" applyAlignment="1">
      <alignment horizontal="center" vertical="center" wrapText="1"/>
    </xf>
    <xf numFmtId="0" fontId="22" fillId="39" borderId="34" xfId="0" applyFont="1" applyFill="1" applyBorder="1" applyAlignment="1">
      <alignment horizontal="center" vertical="center" wrapText="1"/>
    </xf>
    <xf numFmtId="0" fontId="0" fillId="37" borderId="10" xfId="0" applyFill="1" applyBorder="1"/>
    <xf numFmtId="187" fontId="0" fillId="37" borderId="33" xfId="0" applyNumberFormat="1" applyFill="1" applyBorder="1" applyAlignment="1">
      <alignment horizontal="center" vertical="center"/>
    </xf>
    <xf numFmtId="0" fontId="0" fillId="12" borderId="33" xfId="0" applyFill="1" applyBorder="1"/>
    <xf numFmtId="10" fontId="25" fillId="38" borderId="33" xfId="4" applyNumberFormat="1" applyFont="1" applyFill="1" applyBorder="1" applyAlignment="1">
      <alignment horizontal="center" vertical="center"/>
    </xf>
    <xf numFmtId="2" fontId="25" fillId="38" borderId="33" xfId="0" applyNumberFormat="1" applyFont="1" applyFill="1" applyBorder="1" applyAlignment="1">
      <alignment horizontal="center" vertical="center"/>
    </xf>
    <xf numFmtId="10" fontId="22" fillId="39" borderId="32" xfId="4" applyNumberFormat="1" applyFont="1" applyFill="1" applyBorder="1" applyAlignment="1">
      <alignment horizontal="center" vertical="center"/>
    </xf>
    <xf numFmtId="10" fontId="22" fillId="39" borderId="31" xfId="4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166" fontId="71" fillId="12" borderId="0" xfId="0" applyNumberFormat="1" applyFont="1" applyFill="1" applyAlignment="1">
      <alignment horizontal="center" vertical="top" wrapText="1"/>
    </xf>
    <xf numFmtId="0" fontId="137" fillId="3" borderId="21" xfId="0" applyFont="1" applyFill="1" applyBorder="1" applyAlignment="1">
      <alignment horizontal="left" vertical="center" wrapText="1"/>
    </xf>
    <xf numFmtId="0" fontId="97" fillId="0" borderId="0" xfId="10" applyFont="1" applyAlignment="1">
      <alignment horizontal="center" wrapText="1"/>
    </xf>
    <xf numFmtId="0" fontId="97" fillId="0" borderId="0" xfId="10" applyFont="1" applyAlignment="1">
      <alignment horizontal="center"/>
    </xf>
    <xf numFmtId="0" fontId="98" fillId="0" borderId="0" xfId="10" applyFont="1"/>
    <xf numFmtId="167" fontId="94" fillId="0" borderId="0" xfId="10" applyNumberFormat="1" applyFont="1" applyAlignment="1">
      <alignment horizontal="center" vertical="top" wrapText="1"/>
    </xf>
    <xf numFmtId="167" fontId="103" fillId="0" borderId="0" xfId="0" applyNumberFormat="1" applyFont="1" applyAlignment="1">
      <alignment horizontal="center" vertical="top" wrapText="1"/>
    </xf>
    <xf numFmtId="0" fontId="104" fillId="0" borderId="0" xfId="0" applyFont="1"/>
    <xf numFmtId="0" fontId="105" fillId="0" borderId="0" xfId="0" applyFont="1" applyAlignment="1">
      <alignment horizontal="center" wrapText="1"/>
    </xf>
    <xf numFmtId="0" fontId="74" fillId="2" borderId="16" xfId="0" applyFont="1" applyFill="1" applyBorder="1" applyAlignment="1">
      <alignment horizontal="center"/>
    </xf>
    <xf numFmtId="0" fontId="74" fillId="2" borderId="4" xfId="0" applyFont="1" applyFill="1" applyBorder="1" applyAlignment="1">
      <alignment horizontal="center"/>
    </xf>
    <xf numFmtId="0" fontId="74" fillId="2" borderId="17" xfId="0" applyFont="1" applyFill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81" fillId="0" borderId="2" xfId="7" applyFont="1" applyFill="1" applyBorder="1">
      <alignment horizontal="left" vertical="top" wrapText="1"/>
    </xf>
    <xf numFmtId="0" fontId="83" fillId="0" borderId="0" xfId="0" applyFont="1" applyAlignment="1">
      <alignment horizontal="center" vertical="top"/>
    </xf>
    <xf numFmtId="0" fontId="0" fillId="0" borderId="0" xfId="0"/>
    <xf numFmtId="0" fontId="84" fillId="13" borderId="0" xfId="0" applyFont="1" applyFill="1" applyAlignment="1">
      <alignment horizontal="center" vertical="center" wrapText="1"/>
    </xf>
    <xf numFmtId="0" fontId="84" fillId="14" borderId="0" xfId="0" applyFont="1" applyFill="1" applyAlignment="1">
      <alignment horizontal="center" vertical="top"/>
    </xf>
    <xf numFmtId="0" fontId="23" fillId="15" borderId="0" xfId="0" applyFont="1" applyFill="1" applyAlignment="1">
      <alignment horizontal="center"/>
    </xf>
    <xf numFmtId="0" fontId="39" fillId="0" borderId="0" xfId="0" applyFont="1" applyAlignment="1">
      <alignment horizontal="left" vertical="top" wrapText="1"/>
    </xf>
    <xf numFmtId="0" fontId="31" fillId="12" borderId="0" xfId="0" applyFont="1" applyFill="1" applyAlignment="1">
      <alignment horizontal="center" vertical="center"/>
    </xf>
    <xf numFmtId="0" fontId="22" fillId="2" borderId="2" xfId="0" applyFont="1" applyFill="1" applyBorder="1" applyAlignment="1">
      <alignment horizontal="center" vertical="top"/>
    </xf>
    <xf numFmtId="166" fontId="22" fillId="2" borderId="20" xfId="1" applyNumberFormat="1" applyFont="1" applyFill="1" applyBorder="1" applyAlignment="1">
      <alignment horizontal="center" vertical="center" textRotation="180"/>
    </xf>
    <xf numFmtId="0" fontId="117" fillId="0" borderId="0" xfId="14" applyFont="1" applyAlignment="1">
      <alignment horizontal="center" wrapText="1"/>
    </xf>
    <xf numFmtId="0" fontId="5" fillId="0" borderId="0" xfId="14"/>
    <xf numFmtId="0" fontId="113" fillId="0" borderId="0" xfId="14" applyFont="1" applyAlignment="1">
      <alignment horizontal="center"/>
    </xf>
    <xf numFmtId="0" fontId="113" fillId="0" borderId="15" xfId="14" applyFont="1" applyBorder="1" applyAlignment="1">
      <alignment horizontal="center" wrapText="1"/>
    </xf>
    <xf numFmtId="0" fontId="113" fillId="0" borderId="2" xfId="14" applyFont="1" applyBorder="1" applyAlignment="1">
      <alignment horizontal="center" wrapText="1"/>
    </xf>
    <xf numFmtId="0" fontId="117" fillId="0" borderId="41" xfId="14" applyFont="1" applyBorder="1" applyAlignment="1">
      <alignment horizontal="center" wrapText="1"/>
    </xf>
    <xf numFmtId="0" fontId="117" fillId="0" borderId="64" xfId="14" applyFont="1" applyBorder="1" applyAlignment="1">
      <alignment horizontal="center" wrapText="1"/>
    </xf>
    <xf numFmtId="0" fontId="23" fillId="0" borderId="33" xfId="14" applyFont="1" applyBorder="1"/>
    <xf numFmtId="0" fontId="26" fillId="31" borderId="0" xfId="0" applyFont="1" applyFill="1" applyAlignment="1">
      <alignment horizontal="center" wrapText="1"/>
    </xf>
    <xf numFmtId="0" fontId="23" fillId="0" borderId="0" xfId="0" applyFont="1"/>
    <xf numFmtId="0" fontId="26" fillId="31" borderId="67" xfId="0" applyFont="1" applyFill="1" applyBorder="1" applyAlignment="1">
      <alignment horizontal="center"/>
    </xf>
    <xf numFmtId="0" fontId="23" fillId="0" borderId="67" xfId="0" applyFont="1" applyBorder="1"/>
    <xf numFmtId="0" fontId="26" fillId="31" borderId="67" xfId="0" applyFont="1" applyFill="1" applyBorder="1" applyAlignment="1">
      <alignment horizontal="center" wrapText="1"/>
    </xf>
    <xf numFmtId="0" fontId="32" fillId="17" borderId="67" xfId="0" applyFont="1" applyFill="1" applyBorder="1" applyAlignment="1">
      <alignment horizontal="center"/>
    </xf>
    <xf numFmtId="0" fontId="23" fillId="0" borderId="67" xfId="0" applyFont="1" applyBorder="1" applyAlignment="1">
      <alignment horizontal="center"/>
    </xf>
    <xf numFmtId="0" fontId="32" fillId="17" borderId="0" xfId="0" applyFont="1" applyFill="1" applyAlignment="1">
      <alignment horizontal="center" wrapText="1"/>
    </xf>
    <xf numFmtId="0" fontId="32" fillId="17" borderId="67" xfId="0" applyFont="1" applyFill="1" applyBorder="1" applyAlignment="1">
      <alignment horizontal="left"/>
    </xf>
    <xf numFmtId="0" fontId="23" fillId="0" borderId="67" xfId="0" applyFont="1" applyBorder="1" applyAlignment="1">
      <alignment horizontal="left"/>
    </xf>
    <xf numFmtId="0" fontId="135" fillId="0" borderId="0" xfId="0" applyFont="1"/>
    <xf numFmtId="0" fontId="135" fillId="0" borderId="33" xfId="0" applyFont="1" applyBorder="1"/>
    <xf numFmtId="0" fontId="131" fillId="17" borderId="0" xfId="0" applyFont="1" applyFill="1" applyAlignment="1">
      <alignment horizontal="center" wrapText="1"/>
    </xf>
    <xf numFmtId="0" fontId="132" fillId="0" borderId="0" xfId="0" applyFont="1"/>
    <xf numFmtId="0" fontId="4" fillId="0" borderId="0" xfId="0" applyFont="1" applyAlignment="1">
      <alignment horizontal="left"/>
    </xf>
    <xf numFmtId="0" fontId="4" fillId="0" borderId="33" xfId="0" applyFont="1" applyBorder="1" applyAlignment="1">
      <alignment horizontal="left"/>
    </xf>
    <xf numFmtId="0" fontId="135" fillId="0" borderId="0" xfId="0" applyFont="1" applyAlignment="1">
      <alignment horizontal="center"/>
    </xf>
    <xf numFmtId="0" fontId="135" fillId="0" borderId="33" xfId="0" applyFont="1" applyBorder="1" applyAlignment="1">
      <alignment horizontal="center"/>
    </xf>
    <xf numFmtId="0" fontId="21" fillId="17" borderId="0" xfId="0" applyFont="1" applyFill="1" applyAlignment="1">
      <alignment horizontal="center"/>
    </xf>
    <xf numFmtId="0" fontId="110" fillId="23" borderId="0" xfId="0" applyFont="1" applyFill="1" applyAlignment="1">
      <alignment horizontal="center"/>
    </xf>
    <xf numFmtId="0" fontId="110" fillId="23" borderId="15" xfId="0" applyFont="1" applyFill="1" applyBorder="1" applyAlignment="1">
      <alignment horizontal="center"/>
    </xf>
    <xf numFmtId="0" fontId="110" fillId="23" borderId="34" xfId="0" applyFont="1" applyFill="1" applyBorder="1" applyAlignment="1">
      <alignment horizontal="center"/>
    </xf>
  </cellXfs>
  <cellStyles count="17">
    <cellStyle name="Comma" xfId="1" builtinId="3"/>
    <cellStyle name="Comma 2" xfId="11" xr:uid="{00000000-0005-0000-0000-000001000000}"/>
    <cellStyle name="EY1dp" xfId="9" xr:uid="{00000000-0005-0000-0000-000002000000}"/>
    <cellStyle name="EYColumnHeading 3" xfId="5" xr:uid="{00000000-0005-0000-0000-000003000000}"/>
    <cellStyle name="EYNotes" xfId="6" xr:uid="{00000000-0005-0000-0000-000004000000}"/>
    <cellStyle name="EYNotesHeading 3" xfId="8" xr:uid="{00000000-0005-0000-0000-000005000000}"/>
    <cellStyle name="EYnumber 2 2" xfId="2" xr:uid="{00000000-0005-0000-0000-000006000000}"/>
    <cellStyle name="EYSource" xfId="3" xr:uid="{00000000-0005-0000-0000-000007000000}"/>
    <cellStyle name="EYtext" xfId="7" xr:uid="{00000000-0005-0000-0000-000008000000}"/>
    <cellStyle name="Hyperlink" xfId="16" builtinId="8"/>
    <cellStyle name="Normal" xfId="0" builtinId="0"/>
    <cellStyle name="Normal 2" xfId="10" xr:uid="{00000000-0005-0000-0000-00000B000000}"/>
    <cellStyle name="Normal 2 2" xfId="13" xr:uid="{00000000-0005-0000-0000-00000C000000}"/>
    <cellStyle name="Normal 2 2 2" xfId="14" xr:uid="{00000000-0005-0000-0000-00000D000000}"/>
    <cellStyle name="Percent" xfId="4" builtinId="5"/>
    <cellStyle name="Percent 2" xfId="12" xr:uid="{00000000-0005-0000-0000-00000F000000}"/>
    <cellStyle name="Percent 2 2" xfId="15" xr:uid="{00000000-0005-0000-0000-00001000000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Football Field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Field'!$B$3:$B$10</c:f>
              <c:strCache>
                <c:ptCount val="8"/>
                <c:pt idx="0">
                  <c:v>DCF Valuation - Perpetual Growth</c:v>
                </c:pt>
                <c:pt idx="1">
                  <c:v>DCF Valuation - Exit Multiple</c:v>
                </c:pt>
                <c:pt idx="2">
                  <c:v>Trading Comps EV/Sales</c:v>
                </c:pt>
                <c:pt idx="3">
                  <c:v>Trading Comps EV/EBIT</c:v>
                </c:pt>
                <c:pt idx="4">
                  <c:v>Trading Comps P/E</c:v>
                </c:pt>
                <c:pt idx="5">
                  <c:v>Market Consensus</c:v>
                </c:pt>
                <c:pt idx="6">
                  <c:v>52 week range</c:v>
                </c:pt>
                <c:pt idx="7">
                  <c:v>Unaffected Price (CMP)</c:v>
                </c:pt>
              </c:strCache>
            </c:strRef>
          </c:cat>
          <c:val>
            <c:numRef>
              <c:f>'Football Field'!$C$3:$C$10</c:f>
              <c:numCache>
                <c:formatCode>0</c:formatCode>
                <c:ptCount val="8"/>
                <c:pt idx="0">
                  <c:v>44.946903724946665</c:v>
                </c:pt>
                <c:pt idx="1">
                  <c:v>149.95573074506083</c:v>
                </c:pt>
                <c:pt idx="2">
                  <c:v>90.92396425610076</c:v>
                </c:pt>
                <c:pt idx="3">
                  <c:v>169.27162111336654</c:v>
                </c:pt>
                <c:pt idx="4">
                  <c:v>100.74220553718659</c:v>
                </c:pt>
                <c:pt idx="5">
                  <c:v>34</c:v>
                </c:pt>
                <c:pt idx="6">
                  <c:v>38.96</c:v>
                </c:pt>
                <c:pt idx="7">
                  <c:v>47.03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2-4568-8840-32FE2DF4261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'Football Field'!$B$3:$B$10</c:f>
              <c:strCache>
                <c:ptCount val="8"/>
                <c:pt idx="0">
                  <c:v>DCF Valuation - Perpetual Growth</c:v>
                </c:pt>
                <c:pt idx="1">
                  <c:v>DCF Valuation - Exit Multiple</c:v>
                </c:pt>
                <c:pt idx="2">
                  <c:v>Trading Comps EV/Sales</c:v>
                </c:pt>
                <c:pt idx="3">
                  <c:v>Trading Comps EV/EBIT</c:v>
                </c:pt>
                <c:pt idx="4">
                  <c:v>Trading Comps P/E</c:v>
                </c:pt>
                <c:pt idx="5">
                  <c:v>Market Consensus</c:v>
                </c:pt>
                <c:pt idx="6">
                  <c:v>52 week range</c:v>
                </c:pt>
                <c:pt idx="7">
                  <c:v>Unaffected Price (CMP)</c:v>
                </c:pt>
              </c:strCache>
            </c:strRef>
          </c:cat>
          <c:val>
            <c:numRef>
              <c:f>'Football Field'!$D$3:$D$10</c:f>
              <c:numCache>
                <c:formatCode>0</c:formatCode>
                <c:ptCount val="8"/>
                <c:pt idx="0">
                  <c:v>39.741379288283909</c:v>
                </c:pt>
                <c:pt idx="1">
                  <c:v>23.567032282237591</c:v>
                </c:pt>
                <c:pt idx="2">
                  <c:v>18.395707020198401</c:v>
                </c:pt>
                <c:pt idx="3">
                  <c:v>26.642828794647386</c:v>
                </c:pt>
                <c:pt idx="4">
                  <c:v>50.508209293538002</c:v>
                </c:pt>
                <c:pt idx="5">
                  <c:v>71</c:v>
                </c:pt>
                <c:pt idx="6">
                  <c:v>22.28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42-4568-8840-32FE2DF4261C}"/>
            </c:ext>
          </c:extLst>
        </c:ser>
        <c:ser>
          <c:idx val="2"/>
          <c:order val="2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Field'!$B$3:$B$10</c:f>
              <c:strCache>
                <c:ptCount val="8"/>
                <c:pt idx="0">
                  <c:v>DCF Valuation - Perpetual Growth</c:v>
                </c:pt>
                <c:pt idx="1">
                  <c:v>DCF Valuation - Exit Multiple</c:v>
                </c:pt>
                <c:pt idx="2">
                  <c:v>Trading Comps EV/Sales</c:v>
                </c:pt>
                <c:pt idx="3">
                  <c:v>Trading Comps EV/EBIT</c:v>
                </c:pt>
                <c:pt idx="4">
                  <c:v>Trading Comps P/E</c:v>
                </c:pt>
                <c:pt idx="5">
                  <c:v>Market Consensus</c:v>
                </c:pt>
                <c:pt idx="6">
                  <c:v>52 week range</c:v>
                </c:pt>
                <c:pt idx="7">
                  <c:v>Unaffected Price (CMP)</c:v>
                </c:pt>
              </c:strCache>
            </c:strRef>
          </c:cat>
          <c:val>
            <c:numRef>
              <c:f>'Football Field'!$E$3:$E$10</c:f>
              <c:numCache>
                <c:formatCode>0</c:formatCode>
                <c:ptCount val="8"/>
                <c:pt idx="0">
                  <c:v>84.688283013230574</c:v>
                </c:pt>
                <c:pt idx="1">
                  <c:v>173.52276302729842</c:v>
                </c:pt>
                <c:pt idx="2">
                  <c:v>109.31967127629916</c:v>
                </c:pt>
                <c:pt idx="3">
                  <c:v>195.91444990801392</c:v>
                </c:pt>
                <c:pt idx="4">
                  <c:v>151.25041483072459</c:v>
                </c:pt>
                <c:pt idx="5">
                  <c:v>105</c:v>
                </c:pt>
                <c:pt idx="6">
                  <c:v>61.24</c:v>
                </c:pt>
                <c:pt idx="7">
                  <c:v>47.03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42-4568-8840-32FE2DF42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0052800"/>
        <c:axId val="610053128"/>
      </c:barChart>
      <c:catAx>
        <c:axId val="61005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53128"/>
        <c:crosses val="autoZero"/>
        <c:auto val="1"/>
        <c:lblAlgn val="ctr"/>
        <c:lblOffset val="100"/>
        <c:noMultiLvlLbl val="0"/>
      </c:catAx>
      <c:valAx>
        <c:axId val="610053128"/>
        <c:scaling>
          <c:orientation val="minMax"/>
          <c:max val="210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52800"/>
        <c:crosses val="autoZero"/>
        <c:crossBetween val="between"/>
        <c:majorUnit val="5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44B193FC-F6C0-48E1-96EF-A87510FC0C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8CE343CE-21B8-4900-A7FB-ABBC2A86A3D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96F6035F-9BE4-4E8E-BA6E-5BC982E5FC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66CBF54D-4E98-48DE-9974-2BB714F2BE3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6" name="image1.png">
          <a:extLst>
            <a:ext uri="{FF2B5EF4-FFF2-40B4-BE49-F238E27FC236}">
              <a16:creationId xmlns:a16="http://schemas.microsoft.com/office/drawing/2014/main" id="{9D970257-FBA8-41BD-AFFA-962537F57A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" name="image2.png">
          <a:extLst>
            <a:ext uri="{FF2B5EF4-FFF2-40B4-BE49-F238E27FC236}">
              <a16:creationId xmlns:a16="http://schemas.microsoft.com/office/drawing/2014/main" id="{F6EE9F9C-EABE-4FF1-A557-3A92F8AA44B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8" name="image1.png">
          <a:extLst>
            <a:ext uri="{FF2B5EF4-FFF2-40B4-BE49-F238E27FC236}">
              <a16:creationId xmlns:a16="http://schemas.microsoft.com/office/drawing/2014/main" id="{BE10AF91-C25A-4E44-B5B2-69C6DACF58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" name="image2.png">
          <a:extLst>
            <a:ext uri="{FF2B5EF4-FFF2-40B4-BE49-F238E27FC236}">
              <a16:creationId xmlns:a16="http://schemas.microsoft.com/office/drawing/2014/main" id="{4587F772-5156-4412-A54A-6B44CE56044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0" name="image1.png">
          <a:extLst>
            <a:ext uri="{FF2B5EF4-FFF2-40B4-BE49-F238E27FC236}">
              <a16:creationId xmlns:a16="http://schemas.microsoft.com/office/drawing/2014/main" id="{6BA77FDF-9257-40FE-AB9F-81E3527935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" name="image2.png">
          <a:extLst>
            <a:ext uri="{FF2B5EF4-FFF2-40B4-BE49-F238E27FC236}">
              <a16:creationId xmlns:a16="http://schemas.microsoft.com/office/drawing/2014/main" id="{E61FA328-DE8E-4A41-9DCB-EB8DB35F387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2" name="image1.png">
          <a:extLst>
            <a:ext uri="{FF2B5EF4-FFF2-40B4-BE49-F238E27FC236}">
              <a16:creationId xmlns:a16="http://schemas.microsoft.com/office/drawing/2014/main" id="{1A9E07A7-7F45-441D-B817-C5A24268E0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3" name="image2.png">
          <a:extLst>
            <a:ext uri="{FF2B5EF4-FFF2-40B4-BE49-F238E27FC236}">
              <a16:creationId xmlns:a16="http://schemas.microsoft.com/office/drawing/2014/main" id="{4261991B-34C9-4986-9F6B-A259C8818F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4" name="image1.png">
          <a:extLst>
            <a:ext uri="{FF2B5EF4-FFF2-40B4-BE49-F238E27FC236}">
              <a16:creationId xmlns:a16="http://schemas.microsoft.com/office/drawing/2014/main" id="{55F45FAF-CB0B-4D26-9550-DBE0FCE855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5" name="image2.png">
          <a:extLst>
            <a:ext uri="{FF2B5EF4-FFF2-40B4-BE49-F238E27FC236}">
              <a16:creationId xmlns:a16="http://schemas.microsoft.com/office/drawing/2014/main" id="{6E8A5158-BF1F-404C-8912-2ADABEA2388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6" name="image1.png">
          <a:extLst>
            <a:ext uri="{FF2B5EF4-FFF2-40B4-BE49-F238E27FC236}">
              <a16:creationId xmlns:a16="http://schemas.microsoft.com/office/drawing/2014/main" id="{4F75EF9E-43A9-497B-89A3-B2EC79E56D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7" name="image2.png">
          <a:extLst>
            <a:ext uri="{FF2B5EF4-FFF2-40B4-BE49-F238E27FC236}">
              <a16:creationId xmlns:a16="http://schemas.microsoft.com/office/drawing/2014/main" id="{553BF13E-B581-4A97-BCD9-E80FAEAD8C1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8" name="image1.png">
          <a:extLst>
            <a:ext uri="{FF2B5EF4-FFF2-40B4-BE49-F238E27FC236}">
              <a16:creationId xmlns:a16="http://schemas.microsoft.com/office/drawing/2014/main" id="{FED76E04-7F34-44A9-A740-BC88DF0246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9" name="image2.png">
          <a:extLst>
            <a:ext uri="{FF2B5EF4-FFF2-40B4-BE49-F238E27FC236}">
              <a16:creationId xmlns:a16="http://schemas.microsoft.com/office/drawing/2014/main" id="{137757D3-4F33-4480-907B-E1AC813876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20" name="image1.png">
          <a:extLst>
            <a:ext uri="{FF2B5EF4-FFF2-40B4-BE49-F238E27FC236}">
              <a16:creationId xmlns:a16="http://schemas.microsoft.com/office/drawing/2014/main" id="{64156078-0052-4491-8E8C-B9FC34DCD5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1" name="image2.png">
          <a:extLst>
            <a:ext uri="{FF2B5EF4-FFF2-40B4-BE49-F238E27FC236}">
              <a16:creationId xmlns:a16="http://schemas.microsoft.com/office/drawing/2014/main" id="{97243E21-383D-42DA-A08A-FC8152C0247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22" name="image1.png">
          <a:extLst>
            <a:ext uri="{FF2B5EF4-FFF2-40B4-BE49-F238E27FC236}">
              <a16:creationId xmlns:a16="http://schemas.microsoft.com/office/drawing/2014/main" id="{33B6E0AA-7895-4F94-B96A-E5054E7C92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3" name="image2.png">
          <a:extLst>
            <a:ext uri="{FF2B5EF4-FFF2-40B4-BE49-F238E27FC236}">
              <a16:creationId xmlns:a16="http://schemas.microsoft.com/office/drawing/2014/main" id="{A887918C-2EC4-4C5F-87CB-D6FA1C721FE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24" name="image1.png">
          <a:extLst>
            <a:ext uri="{FF2B5EF4-FFF2-40B4-BE49-F238E27FC236}">
              <a16:creationId xmlns:a16="http://schemas.microsoft.com/office/drawing/2014/main" id="{CCBE0F09-946E-4C5C-A767-7B23815AF9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5" name="image2.png">
          <a:extLst>
            <a:ext uri="{FF2B5EF4-FFF2-40B4-BE49-F238E27FC236}">
              <a16:creationId xmlns:a16="http://schemas.microsoft.com/office/drawing/2014/main" id="{99F5F7C9-81BF-430D-9728-BCF1F3ACF5A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6" name="image2.png">
          <a:extLst>
            <a:ext uri="{FF2B5EF4-FFF2-40B4-BE49-F238E27FC236}">
              <a16:creationId xmlns:a16="http://schemas.microsoft.com/office/drawing/2014/main" id="{96E648DB-DD89-4AA2-A9B1-E8C7B4485B4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7" name="image2.png">
          <a:extLst>
            <a:ext uri="{FF2B5EF4-FFF2-40B4-BE49-F238E27FC236}">
              <a16:creationId xmlns:a16="http://schemas.microsoft.com/office/drawing/2014/main" id="{A58E36F5-8C96-4DA3-BCA1-BE087D07072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8" name="image2.png">
          <a:extLst>
            <a:ext uri="{FF2B5EF4-FFF2-40B4-BE49-F238E27FC236}">
              <a16:creationId xmlns:a16="http://schemas.microsoft.com/office/drawing/2014/main" id="{57D7941D-9FF3-48AE-BFCB-C498FBE3BD9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9" name="image2.png">
          <a:extLst>
            <a:ext uri="{FF2B5EF4-FFF2-40B4-BE49-F238E27FC236}">
              <a16:creationId xmlns:a16="http://schemas.microsoft.com/office/drawing/2014/main" id="{9FA34208-D686-40F2-B1EE-FCAE7A1C9C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0" name="image2.png">
          <a:extLst>
            <a:ext uri="{FF2B5EF4-FFF2-40B4-BE49-F238E27FC236}">
              <a16:creationId xmlns:a16="http://schemas.microsoft.com/office/drawing/2014/main" id="{2A34257E-4AA6-4C4B-9A5D-EE677AF02A8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1" name="image2.png">
          <a:extLst>
            <a:ext uri="{FF2B5EF4-FFF2-40B4-BE49-F238E27FC236}">
              <a16:creationId xmlns:a16="http://schemas.microsoft.com/office/drawing/2014/main" id="{4152C469-C0FE-4758-AF73-7BEF936EEA7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2" name="image2.png">
          <a:extLst>
            <a:ext uri="{FF2B5EF4-FFF2-40B4-BE49-F238E27FC236}">
              <a16:creationId xmlns:a16="http://schemas.microsoft.com/office/drawing/2014/main" id="{A5C195F8-0226-4FEE-A52D-CB47155E85A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3" name="image2.png">
          <a:extLst>
            <a:ext uri="{FF2B5EF4-FFF2-40B4-BE49-F238E27FC236}">
              <a16:creationId xmlns:a16="http://schemas.microsoft.com/office/drawing/2014/main" id="{0F652D7B-051A-40A8-91C7-03874B633C9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4" name="image2.png">
          <a:extLst>
            <a:ext uri="{FF2B5EF4-FFF2-40B4-BE49-F238E27FC236}">
              <a16:creationId xmlns:a16="http://schemas.microsoft.com/office/drawing/2014/main" id="{347E4556-4D87-497B-8B5C-6BD6D32DD9F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5" name="image2.png">
          <a:extLst>
            <a:ext uri="{FF2B5EF4-FFF2-40B4-BE49-F238E27FC236}">
              <a16:creationId xmlns:a16="http://schemas.microsoft.com/office/drawing/2014/main" id="{B322C822-1AC5-486A-AA4C-F5C9DA6E880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6" name="image2.png">
          <a:extLst>
            <a:ext uri="{FF2B5EF4-FFF2-40B4-BE49-F238E27FC236}">
              <a16:creationId xmlns:a16="http://schemas.microsoft.com/office/drawing/2014/main" id="{D712F774-CF9B-4C53-8930-919469512A6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7" name="image2.png">
          <a:extLst>
            <a:ext uri="{FF2B5EF4-FFF2-40B4-BE49-F238E27FC236}">
              <a16:creationId xmlns:a16="http://schemas.microsoft.com/office/drawing/2014/main" id="{B6A35398-057B-4009-9296-774077E486C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8" name="image2.png">
          <a:extLst>
            <a:ext uri="{FF2B5EF4-FFF2-40B4-BE49-F238E27FC236}">
              <a16:creationId xmlns:a16="http://schemas.microsoft.com/office/drawing/2014/main" id="{18EB5429-B832-42D9-9DE5-3E343D6A546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9" name="image2.png">
          <a:extLst>
            <a:ext uri="{FF2B5EF4-FFF2-40B4-BE49-F238E27FC236}">
              <a16:creationId xmlns:a16="http://schemas.microsoft.com/office/drawing/2014/main" id="{28CE03D8-32F5-480C-8E55-A3A55AF4E43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0" name="image2.png">
          <a:extLst>
            <a:ext uri="{FF2B5EF4-FFF2-40B4-BE49-F238E27FC236}">
              <a16:creationId xmlns:a16="http://schemas.microsoft.com/office/drawing/2014/main" id="{95EDDE81-8E48-4DE0-9DA3-D495DE9E3E8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1" name="image2.png">
          <a:extLst>
            <a:ext uri="{FF2B5EF4-FFF2-40B4-BE49-F238E27FC236}">
              <a16:creationId xmlns:a16="http://schemas.microsoft.com/office/drawing/2014/main" id="{8C3128BC-05DD-4D3C-BEDF-B9461828EEB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2" name="image2.png">
          <a:extLst>
            <a:ext uri="{FF2B5EF4-FFF2-40B4-BE49-F238E27FC236}">
              <a16:creationId xmlns:a16="http://schemas.microsoft.com/office/drawing/2014/main" id="{CAF091EF-D0AC-45B5-92BB-DFB7A5B1D8B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3" name="image2.png">
          <a:extLst>
            <a:ext uri="{FF2B5EF4-FFF2-40B4-BE49-F238E27FC236}">
              <a16:creationId xmlns:a16="http://schemas.microsoft.com/office/drawing/2014/main" id="{1555B1EC-65B3-47C7-B86C-FBB5A66344F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4" name="image2.png">
          <a:extLst>
            <a:ext uri="{FF2B5EF4-FFF2-40B4-BE49-F238E27FC236}">
              <a16:creationId xmlns:a16="http://schemas.microsoft.com/office/drawing/2014/main" id="{63A56F4A-C7BE-4637-A77C-84A95A2B5F1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5" name="image2.png">
          <a:extLst>
            <a:ext uri="{FF2B5EF4-FFF2-40B4-BE49-F238E27FC236}">
              <a16:creationId xmlns:a16="http://schemas.microsoft.com/office/drawing/2014/main" id="{E9B6A791-C32B-486C-8B91-F3457B7B734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6" name="image2.png">
          <a:extLst>
            <a:ext uri="{FF2B5EF4-FFF2-40B4-BE49-F238E27FC236}">
              <a16:creationId xmlns:a16="http://schemas.microsoft.com/office/drawing/2014/main" id="{909854A3-AA12-41CA-926F-68EB8A78FAC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7" name="image2.png">
          <a:extLst>
            <a:ext uri="{FF2B5EF4-FFF2-40B4-BE49-F238E27FC236}">
              <a16:creationId xmlns:a16="http://schemas.microsoft.com/office/drawing/2014/main" id="{88C50915-F868-4E45-A55F-6963379DB2F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8" name="image2.png">
          <a:extLst>
            <a:ext uri="{FF2B5EF4-FFF2-40B4-BE49-F238E27FC236}">
              <a16:creationId xmlns:a16="http://schemas.microsoft.com/office/drawing/2014/main" id="{43C4C67E-6C1E-4F17-BD0D-773D3DD585C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9" name="image2.png">
          <a:extLst>
            <a:ext uri="{FF2B5EF4-FFF2-40B4-BE49-F238E27FC236}">
              <a16:creationId xmlns:a16="http://schemas.microsoft.com/office/drawing/2014/main" id="{94C3E982-4C01-41D8-98B4-FB31F17AE67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0" name="image2.png">
          <a:extLst>
            <a:ext uri="{FF2B5EF4-FFF2-40B4-BE49-F238E27FC236}">
              <a16:creationId xmlns:a16="http://schemas.microsoft.com/office/drawing/2014/main" id="{BC11B069-BDBE-4D97-8A37-98E7DE754D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1" name="image2.png">
          <a:extLst>
            <a:ext uri="{FF2B5EF4-FFF2-40B4-BE49-F238E27FC236}">
              <a16:creationId xmlns:a16="http://schemas.microsoft.com/office/drawing/2014/main" id="{FABF0F87-94F0-4EC9-BB9D-C211D03619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2425" y="20478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408D5417-A6EF-4A72-A6DA-90224996D9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628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9129D55D-0AB5-4079-9613-88376D6881E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CC0B52C3-AD5F-438E-980C-5A085E6473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628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41A67265-AE9E-4ED7-95F6-252C57AB3DD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6" name="image1.png">
          <a:extLst>
            <a:ext uri="{FF2B5EF4-FFF2-40B4-BE49-F238E27FC236}">
              <a16:creationId xmlns:a16="http://schemas.microsoft.com/office/drawing/2014/main" id="{FD3614E2-013E-4A53-86C1-577483EC1E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628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" name="image2.png">
          <a:extLst>
            <a:ext uri="{FF2B5EF4-FFF2-40B4-BE49-F238E27FC236}">
              <a16:creationId xmlns:a16="http://schemas.microsoft.com/office/drawing/2014/main" id="{438943F7-4997-4663-950D-D95EF81C223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8" name="image1.png">
          <a:extLst>
            <a:ext uri="{FF2B5EF4-FFF2-40B4-BE49-F238E27FC236}">
              <a16:creationId xmlns:a16="http://schemas.microsoft.com/office/drawing/2014/main" id="{3F2FFA76-76F4-4EBC-A76E-09E7D1575B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628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" name="image2.png">
          <a:extLst>
            <a:ext uri="{FF2B5EF4-FFF2-40B4-BE49-F238E27FC236}">
              <a16:creationId xmlns:a16="http://schemas.microsoft.com/office/drawing/2014/main" id="{45015134-241B-4E69-B103-B51F594B54E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0" name="image1.png">
          <a:extLst>
            <a:ext uri="{FF2B5EF4-FFF2-40B4-BE49-F238E27FC236}">
              <a16:creationId xmlns:a16="http://schemas.microsoft.com/office/drawing/2014/main" id="{6BA08FD1-BDD1-4B47-B26E-BFFEDCEB14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628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" name="image2.png">
          <a:extLst>
            <a:ext uri="{FF2B5EF4-FFF2-40B4-BE49-F238E27FC236}">
              <a16:creationId xmlns:a16="http://schemas.microsoft.com/office/drawing/2014/main" id="{91F882EB-0908-4F7C-8ED4-8D4D66EA1B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2" name="image1.png">
          <a:extLst>
            <a:ext uri="{FF2B5EF4-FFF2-40B4-BE49-F238E27FC236}">
              <a16:creationId xmlns:a16="http://schemas.microsoft.com/office/drawing/2014/main" id="{958B96F8-CF71-4ECE-BBBE-65F688B425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628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3" name="image2.png">
          <a:extLst>
            <a:ext uri="{FF2B5EF4-FFF2-40B4-BE49-F238E27FC236}">
              <a16:creationId xmlns:a16="http://schemas.microsoft.com/office/drawing/2014/main" id="{1ED3A54A-EB20-42B3-994C-764B355994F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4" name="image1.png">
          <a:extLst>
            <a:ext uri="{FF2B5EF4-FFF2-40B4-BE49-F238E27FC236}">
              <a16:creationId xmlns:a16="http://schemas.microsoft.com/office/drawing/2014/main" id="{FCBA955D-11DE-47B4-B495-239D734870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628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5" name="image2.png">
          <a:extLst>
            <a:ext uri="{FF2B5EF4-FFF2-40B4-BE49-F238E27FC236}">
              <a16:creationId xmlns:a16="http://schemas.microsoft.com/office/drawing/2014/main" id="{1442A9AC-4D7C-44C0-B62B-FB66DE190D4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6" name="image1.png">
          <a:extLst>
            <a:ext uri="{FF2B5EF4-FFF2-40B4-BE49-F238E27FC236}">
              <a16:creationId xmlns:a16="http://schemas.microsoft.com/office/drawing/2014/main" id="{5CACB4E2-4862-4F36-856D-179FFA488F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628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7" name="image2.png">
          <a:extLst>
            <a:ext uri="{FF2B5EF4-FFF2-40B4-BE49-F238E27FC236}">
              <a16:creationId xmlns:a16="http://schemas.microsoft.com/office/drawing/2014/main" id="{15D3508C-9D01-49C5-A2FB-0224B9E4B0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8" name="image1.png">
          <a:extLst>
            <a:ext uri="{FF2B5EF4-FFF2-40B4-BE49-F238E27FC236}">
              <a16:creationId xmlns:a16="http://schemas.microsoft.com/office/drawing/2014/main" id="{B2652D78-E710-40B3-9978-5AD02484E7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628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9" name="image2.png">
          <a:extLst>
            <a:ext uri="{FF2B5EF4-FFF2-40B4-BE49-F238E27FC236}">
              <a16:creationId xmlns:a16="http://schemas.microsoft.com/office/drawing/2014/main" id="{566C440A-7AD0-49C6-9628-D179A3E75E7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20" name="image1.png">
          <a:extLst>
            <a:ext uri="{FF2B5EF4-FFF2-40B4-BE49-F238E27FC236}">
              <a16:creationId xmlns:a16="http://schemas.microsoft.com/office/drawing/2014/main" id="{2DC7F47F-D694-4F05-B6F8-1459ECA623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628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1" name="image2.png">
          <a:extLst>
            <a:ext uri="{FF2B5EF4-FFF2-40B4-BE49-F238E27FC236}">
              <a16:creationId xmlns:a16="http://schemas.microsoft.com/office/drawing/2014/main" id="{57B43DA1-A429-44CD-9A83-CC4CF240188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2" name="image2.png">
          <a:extLst>
            <a:ext uri="{FF2B5EF4-FFF2-40B4-BE49-F238E27FC236}">
              <a16:creationId xmlns:a16="http://schemas.microsoft.com/office/drawing/2014/main" id="{0557CA18-17D5-4DDD-A659-6C5BAEC381F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3" name="image2.png">
          <a:extLst>
            <a:ext uri="{FF2B5EF4-FFF2-40B4-BE49-F238E27FC236}">
              <a16:creationId xmlns:a16="http://schemas.microsoft.com/office/drawing/2014/main" id="{180C6B2B-7353-490E-A77C-A87B0442A5F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4" name="image2.png">
          <a:extLst>
            <a:ext uri="{FF2B5EF4-FFF2-40B4-BE49-F238E27FC236}">
              <a16:creationId xmlns:a16="http://schemas.microsoft.com/office/drawing/2014/main" id="{E6A8B969-9B95-4B20-8481-03CD9A30602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5" name="image2.png">
          <a:extLst>
            <a:ext uri="{FF2B5EF4-FFF2-40B4-BE49-F238E27FC236}">
              <a16:creationId xmlns:a16="http://schemas.microsoft.com/office/drawing/2014/main" id="{BA410CB8-3EAA-4C8C-A2EF-5EF23851CF5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6" name="image2.png">
          <a:extLst>
            <a:ext uri="{FF2B5EF4-FFF2-40B4-BE49-F238E27FC236}">
              <a16:creationId xmlns:a16="http://schemas.microsoft.com/office/drawing/2014/main" id="{2D9EE0A6-0A1E-4211-999E-016727BA49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7" name="image2.png">
          <a:extLst>
            <a:ext uri="{FF2B5EF4-FFF2-40B4-BE49-F238E27FC236}">
              <a16:creationId xmlns:a16="http://schemas.microsoft.com/office/drawing/2014/main" id="{E8838A80-7577-4E8C-A307-583B48D50CB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8" name="image2.png">
          <a:extLst>
            <a:ext uri="{FF2B5EF4-FFF2-40B4-BE49-F238E27FC236}">
              <a16:creationId xmlns:a16="http://schemas.microsoft.com/office/drawing/2014/main" id="{EA10A74B-1DFC-493B-B8C2-59C68468245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9" name="image2.png">
          <a:extLst>
            <a:ext uri="{FF2B5EF4-FFF2-40B4-BE49-F238E27FC236}">
              <a16:creationId xmlns:a16="http://schemas.microsoft.com/office/drawing/2014/main" id="{8CB2690A-9A27-4EFC-AB1C-D647119338A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0" name="image2.png">
          <a:extLst>
            <a:ext uri="{FF2B5EF4-FFF2-40B4-BE49-F238E27FC236}">
              <a16:creationId xmlns:a16="http://schemas.microsoft.com/office/drawing/2014/main" id="{94D15F3E-43D0-4747-80E3-8C69C38A98A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1" name="image2.png">
          <a:extLst>
            <a:ext uri="{FF2B5EF4-FFF2-40B4-BE49-F238E27FC236}">
              <a16:creationId xmlns:a16="http://schemas.microsoft.com/office/drawing/2014/main" id="{661DBBBF-270B-4C44-897A-E48774756C6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2" name="image2.png">
          <a:extLst>
            <a:ext uri="{FF2B5EF4-FFF2-40B4-BE49-F238E27FC236}">
              <a16:creationId xmlns:a16="http://schemas.microsoft.com/office/drawing/2014/main" id="{761295D8-B6CD-4D27-BF4A-C3935D80B27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3" name="image2.png">
          <a:extLst>
            <a:ext uri="{FF2B5EF4-FFF2-40B4-BE49-F238E27FC236}">
              <a16:creationId xmlns:a16="http://schemas.microsoft.com/office/drawing/2014/main" id="{A2705172-1DD5-477B-9F58-C43BE4CB97B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4" name="image2.png">
          <a:extLst>
            <a:ext uri="{FF2B5EF4-FFF2-40B4-BE49-F238E27FC236}">
              <a16:creationId xmlns:a16="http://schemas.microsoft.com/office/drawing/2014/main" id="{C457F2F6-DB5C-4B03-8DB0-1C39EDF1F87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5" name="image2.png">
          <a:extLst>
            <a:ext uri="{FF2B5EF4-FFF2-40B4-BE49-F238E27FC236}">
              <a16:creationId xmlns:a16="http://schemas.microsoft.com/office/drawing/2014/main" id="{6EB09ACD-5356-4E37-AE53-57E1B39F135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6" name="image2.png">
          <a:extLst>
            <a:ext uri="{FF2B5EF4-FFF2-40B4-BE49-F238E27FC236}">
              <a16:creationId xmlns:a16="http://schemas.microsoft.com/office/drawing/2014/main" id="{DD9EEB85-7A98-4501-A7B8-BED0333A012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7" name="image2.png">
          <a:extLst>
            <a:ext uri="{FF2B5EF4-FFF2-40B4-BE49-F238E27FC236}">
              <a16:creationId xmlns:a16="http://schemas.microsoft.com/office/drawing/2014/main" id="{2A1257DF-D778-4E23-8352-CB86BEBB1AF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8" name="image2.png">
          <a:extLst>
            <a:ext uri="{FF2B5EF4-FFF2-40B4-BE49-F238E27FC236}">
              <a16:creationId xmlns:a16="http://schemas.microsoft.com/office/drawing/2014/main" id="{0D2AA9FB-FB09-409A-8D0C-2395AFED6EC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9" name="image2.png">
          <a:extLst>
            <a:ext uri="{FF2B5EF4-FFF2-40B4-BE49-F238E27FC236}">
              <a16:creationId xmlns:a16="http://schemas.microsoft.com/office/drawing/2014/main" id="{C9A64AC2-1E8F-463D-A790-717C7110157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0" name="image2.png">
          <a:extLst>
            <a:ext uri="{FF2B5EF4-FFF2-40B4-BE49-F238E27FC236}">
              <a16:creationId xmlns:a16="http://schemas.microsoft.com/office/drawing/2014/main" id="{0CDF55D0-7BB3-4654-8F52-E70CE9393E5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1" name="image2.png">
          <a:extLst>
            <a:ext uri="{FF2B5EF4-FFF2-40B4-BE49-F238E27FC236}">
              <a16:creationId xmlns:a16="http://schemas.microsoft.com/office/drawing/2014/main" id="{82CEEB84-A1BE-4E1A-A9F2-FDCA6A6E237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2" name="image2.png">
          <a:extLst>
            <a:ext uri="{FF2B5EF4-FFF2-40B4-BE49-F238E27FC236}">
              <a16:creationId xmlns:a16="http://schemas.microsoft.com/office/drawing/2014/main" id="{BB048BDF-FCE8-4EF9-9A40-026B3D68443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3" name="image2.png">
          <a:extLst>
            <a:ext uri="{FF2B5EF4-FFF2-40B4-BE49-F238E27FC236}">
              <a16:creationId xmlns:a16="http://schemas.microsoft.com/office/drawing/2014/main" id="{65B43E78-EAD3-47E1-AD33-00B0845C931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4" name="image2.png">
          <a:extLst>
            <a:ext uri="{FF2B5EF4-FFF2-40B4-BE49-F238E27FC236}">
              <a16:creationId xmlns:a16="http://schemas.microsoft.com/office/drawing/2014/main" id="{87B68D40-3164-41E9-89B5-AFEBCE9C296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5" name="image2.png">
          <a:extLst>
            <a:ext uri="{FF2B5EF4-FFF2-40B4-BE49-F238E27FC236}">
              <a16:creationId xmlns:a16="http://schemas.microsoft.com/office/drawing/2014/main" id="{8C04424E-EF8A-4552-B6BB-86AE09F93C9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6" name="image2.png">
          <a:extLst>
            <a:ext uri="{FF2B5EF4-FFF2-40B4-BE49-F238E27FC236}">
              <a16:creationId xmlns:a16="http://schemas.microsoft.com/office/drawing/2014/main" id="{71F4DEDC-BF12-4B81-BEFE-1A10FA4E0D3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7" name="image2.png">
          <a:extLst>
            <a:ext uri="{FF2B5EF4-FFF2-40B4-BE49-F238E27FC236}">
              <a16:creationId xmlns:a16="http://schemas.microsoft.com/office/drawing/2014/main" id="{A143BDB6-A716-4C89-B02D-F4C50DB44C4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8" name="image2.png">
          <a:extLst>
            <a:ext uri="{FF2B5EF4-FFF2-40B4-BE49-F238E27FC236}">
              <a16:creationId xmlns:a16="http://schemas.microsoft.com/office/drawing/2014/main" id="{7865D20C-523C-4F05-8661-975F55DFE2E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9" name="image2.png">
          <a:extLst>
            <a:ext uri="{FF2B5EF4-FFF2-40B4-BE49-F238E27FC236}">
              <a16:creationId xmlns:a16="http://schemas.microsoft.com/office/drawing/2014/main" id="{EC2F1275-A65C-4DD8-B7DD-54826CEF533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0" name="image2.png">
          <a:extLst>
            <a:ext uri="{FF2B5EF4-FFF2-40B4-BE49-F238E27FC236}">
              <a16:creationId xmlns:a16="http://schemas.microsoft.com/office/drawing/2014/main" id="{9698F117-C06B-4D12-AAA0-FCA33EABD18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1" name="image2.png">
          <a:extLst>
            <a:ext uri="{FF2B5EF4-FFF2-40B4-BE49-F238E27FC236}">
              <a16:creationId xmlns:a16="http://schemas.microsoft.com/office/drawing/2014/main" id="{E14A087B-593D-4236-9B6B-4181E95C692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2" name="image2.png">
          <a:extLst>
            <a:ext uri="{FF2B5EF4-FFF2-40B4-BE49-F238E27FC236}">
              <a16:creationId xmlns:a16="http://schemas.microsoft.com/office/drawing/2014/main" id="{2F646C5D-0248-4E92-972D-5BB72D2427C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3" name="image2.png">
          <a:extLst>
            <a:ext uri="{FF2B5EF4-FFF2-40B4-BE49-F238E27FC236}">
              <a16:creationId xmlns:a16="http://schemas.microsoft.com/office/drawing/2014/main" id="{AED3C791-9FF3-483F-962D-3E4E327551D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4" name="image2.png">
          <a:extLst>
            <a:ext uri="{FF2B5EF4-FFF2-40B4-BE49-F238E27FC236}">
              <a16:creationId xmlns:a16="http://schemas.microsoft.com/office/drawing/2014/main" id="{A831B984-0E7A-4CAB-B366-73876341A11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5" name="image2.png">
          <a:extLst>
            <a:ext uri="{FF2B5EF4-FFF2-40B4-BE49-F238E27FC236}">
              <a16:creationId xmlns:a16="http://schemas.microsoft.com/office/drawing/2014/main" id="{5F9C4407-3B30-41C1-BBB5-AF989D969BC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6" name="image2.png">
          <a:extLst>
            <a:ext uri="{FF2B5EF4-FFF2-40B4-BE49-F238E27FC236}">
              <a16:creationId xmlns:a16="http://schemas.microsoft.com/office/drawing/2014/main" id="{C8A36D1E-0B46-49B8-B2F5-1C07AE9823E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7" name="image2.png">
          <a:extLst>
            <a:ext uri="{FF2B5EF4-FFF2-40B4-BE49-F238E27FC236}">
              <a16:creationId xmlns:a16="http://schemas.microsoft.com/office/drawing/2014/main" id="{51352D97-7D1F-458E-AA9D-6BB660F017E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8" name="image2.png">
          <a:extLst>
            <a:ext uri="{FF2B5EF4-FFF2-40B4-BE49-F238E27FC236}">
              <a16:creationId xmlns:a16="http://schemas.microsoft.com/office/drawing/2014/main" id="{6010716C-85E1-4C68-BF8A-0C0111E78D7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9" name="image2.png">
          <a:extLst>
            <a:ext uri="{FF2B5EF4-FFF2-40B4-BE49-F238E27FC236}">
              <a16:creationId xmlns:a16="http://schemas.microsoft.com/office/drawing/2014/main" id="{32284F37-97CF-4D15-814F-2186A1DFB34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0" name="image2.png">
          <a:extLst>
            <a:ext uri="{FF2B5EF4-FFF2-40B4-BE49-F238E27FC236}">
              <a16:creationId xmlns:a16="http://schemas.microsoft.com/office/drawing/2014/main" id="{F22C22FE-9EB7-4906-B1EE-4609EC7AE7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1" name="image2.png">
          <a:extLst>
            <a:ext uri="{FF2B5EF4-FFF2-40B4-BE49-F238E27FC236}">
              <a16:creationId xmlns:a16="http://schemas.microsoft.com/office/drawing/2014/main" id="{65B0DF26-F28D-43EA-A445-B32D8A1C5B2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2" name="image2.png">
          <a:extLst>
            <a:ext uri="{FF2B5EF4-FFF2-40B4-BE49-F238E27FC236}">
              <a16:creationId xmlns:a16="http://schemas.microsoft.com/office/drawing/2014/main" id="{339C476A-9F38-446C-BB08-19F8E6BEE30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3" name="image2.png">
          <a:extLst>
            <a:ext uri="{FF2B5EF4-FFF2-40B4-BE49-F238E27FC236}">
              <a16:creationId xmlns:a16="http://schemas.microsoft.com/office/drawing/2014/main" id="{F9C508F8-E1D7-43E9-9AED-F2F1BEE897C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4" name="image2.png">
          <a:extLst>
            <a:ext uri="{FF2B5EF4-FFF2-40B4-BE49-F238E27FC236}">
              <a16:creationId xmlns:a16="http://schemas.microsoft.com/office/drawing/2014/main" id="{F6887715-E9F4-4A62-B183-0603E5D8C27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5" name="image2.png">
          <a:extLst>
            <a:ext uri="{FF2B5EF4-FFF2-40B4-BE49-F238E27FC236}">
              <a16:creationId xmlns:a16="http://schemas.microsoft.com/office/drawing/2014/main" id="{CD6BAEE4-C4C2-4973-89DB-787599CE8B5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6" name="image2.png">
          <a:extLst>
            <a:ext uri="{FF2B5EF4-FFF2-40B4-BE49-F238E27FC236}">
              <a16:creationId xmlns:a16="http://schemas.microsoft.com/office/drawing/2014/main" id="{BBC05FC0-073F-4003-9622-74C30D8A9D9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7" name="image2.png">
          <a:extLst>
            <a:ext uri="{FF2B5EF4-FFF2-40B4-BE49-F238E27FC236}">
              <a16:creationId xmlns:a16="http://schemas.microsoft.com/office/drawing/2014/main" id="{5241F9B8-55DF-4D05-BD46-BC12FA789C0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8" name="image2.png">
          <a:extLst>
            <a:ext uri="{FF2B5EF4-FFF2-40B4-BE49-F238E27FC236}">
              <a16:creationId xmlns:a16="http://schemas.microsoft.com/office/drawing/2014/main" id="{70E63C2B-78B2-4A11-8286-AB9018B4138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9" name="image2.png">
          <a:extLst>
            <a:ext uri="{FF2B5EF4-FFF2-40B4-BE49-F238E27FC236}">
              <a16:creationId xmlns:a16="http://schemas.microsoft.com/office/drawing/2014/main" id="{DAE03E79-C0ED-46DF-8C0B-E5431F0A782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0" name="image2.png">
          <a:extLst>
            <a:ext uri="{FF2B5EF4-FFF2-40B4-BE49-F238E27FC236}">
              <a16:creationId xmlns:a16="http://schemas.microsoft.com/office/drawing/2014/main" id="{CCB47593-57C8-41D9-9114-4E798ADAEC3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1" name="image2.png">
          <a:extLst>
            <a:ext uri="{FF2B5EF4-FFF2-40B4-BE49-F238E27FC236}">
              <a16:creationId xmlns:a16="http://schemas.microsoft.com/office/drawing/2014/main" id="{C296FB82-94AF-4659-9CBF-3AA77D3E9D0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2" name="image2.png">
          <a:extLst>
            <a:ext uri="{FF2B5EF4-FFF2-40B4-BE49-F238E27FC236}">
              <a16:creationId xmlns:a16="http://schemas.microsoft.com/office/drawing/2014/main" id="{F42CCCF1-235E-4901-9D1F-196D841769D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3" name="image2.png">
          <a:extLst>
            <a:ext uri="{FF2B5EF4-FFF2-40B4-BE49-F238E27FC236}">
              <a16:creationId xmlns:a16="http://schemas.microsoft.com/office/drawing/2014/main" id="{0E77AA12-8E1A-4EB2-B2EA-546E5D6C0EB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4" name="image2.png">
          <a:extLst>
            <a:ext uri="{FF2B5EF4-FFF2-40B4-BE49-F238E27FC236}">
              <a16:creationId xmlns:a16="http://schemas.microsoft.com/office/drawing/2014/main" id="{3F0F543F-7FC3-4691-ADB2-A064B607F6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5" name="image2.png">
          <a:extLst>
            <a:ext uri="{FF2B5EF4-FFF2-40B4-BE49-F238E27FC236}">
              <a16:creationId xmlns:a16="http://schemas.microsoft.com/office/drawing/2014/main" id="{25B99775-B1BB-4E5F-89AA-1F3F1A19599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6" name="image2.png">
          <a:extLst>
            <a:ext uri="{FF2B5EF4-FFF2-40B4-BE49-F238E27FC236}">
              <a16:creationId xmlns:a16="http://schemas.microsoft.com/office/drawing/2014/main" id="{C3238DF3-F3A7-47E8-85DF-5CDB1F048A5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7" name="image2.png">
          <a:extLst>
            <a:ext uri="{FF2B5EF4-FFF2-40B4-BE49-F238E27FC236}">
              <a16:creationId xmlns:a16="http://schemas.microsoft.com/office/drawing/2014/main" id="{09F1EF98-FBE9-4756-9D68-C219DC2C294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8" name="image2.png">
          <a:extLst>
            <a:ext uri="{FF2B5EF4-FFF2-40B4-BE49-F238E27FC236}">
              <a16:creationId xmlns:a16="http://schemas.microsoft.com/office/drawing/2014/main" id="{B5419178-5ACF-4F60-BEBE-76C8232F548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9" name="image2.png">
          <a:extLst>
            <a:ext uri="{FF2B5EF4-FFF2-40B4-BE49-F238E27FC236}">
              <a16:creationId xmlns:a16="http://schemas.microsoft.com/office/drawing/2014/main" id="{0B5D435A-D579-4D00-990D-751A5206C54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67300" y="20478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B7BDC566-FC81-4B1A-838D-5F09972D4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73C9E7BA-84FA-43C8-92D6-B1EF00D40A3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38BC3096-96EB-4328-B033-0BE351A6FB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6E00B34B-CFFB-43EF-B920-A154AD24381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6" name="image1.png">
          <a:extLst>
            <a:ext uri="{FF2B5EF4-FFF2-40B4-BE49-F238E27FC236}">
              <a16:creationId xmlns:a16="http://schemas.microsoft.com/office/drawing/2014/main" id="{BAAF0FFF-8BBA-42B5-A415-876C127A93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" name="image2.png">
          <a:extLst>
            <a:ext uri="{FF2B5EF4-FFF2-40B4-BE49-F238E27FC236}">
              <a16:creationId xmlns:a16="http://schemas.microsoft.com/office/drawing/2014/main" id="{68314D2B-A40D-41BD-8519-0C6C45D2D50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8" name="image1.png">
          <a:extLst>
            <a:ext uri="{FF2B5EF4-FFF2-40B4-BE49-F238E27FC236}">
              <a16:creationId xmlns:a16="http://schemas.microsoft.com/office/drawing/2014/main" id="{4A90E04C-6FE9-460A-B1DE-A60B3059C3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" name="image2.png">
          <a:extLst>
            <a:ext uri="{FF2B5EF4-FFF2-40B4-BE49-F238E27FC236}">
              <a16:creationId xmlns:a16="http://schemas.microsoft.com/office/drawing/2014/main" id="{9BBE395C-BD70-45C9-8302-24F733FA24C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0" name="image1.png">
          <a:extLst>
            <a:ext uri="{FF2B5EF4-FFF2-40B4-BE49-F238E27FC236}">
              <a16:creationId xmlns:a16="http://schemas.microsoft.com/office/drawing/2014/main" id="{21F9BC19-0847-4708-8FB1-56CB944CCA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" name="image2.png">
          <a:extLst>
            <a:ext uri="{FF2B5EF4-FFF2-40B4-BE49-F238E27FC236}">
              <a16:creationId xmlns:a16="http://schemas.microsoft.com/office/drawing/2014/main" id="{23262926-FA32-4483-B77D-0A5D7FBE37D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2" name="image1.png">
          <a:extLst>
            <a:ext uri="{FF2B5EF4-FFF2-40B4-BE49-F238E27FC236}">
              <a16:creationId xmlns:a16="http://schemas.microsoft.com/office/drawing/2014/main" id="{DD30BA20-3E6E-42DF-B127-8EE674F4C4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3" name="image2.png">
          <a:extLst>
            <a:ext uri="{FF2B5EF4-FFF2-40B4-BE49-F238E27FC236}">
              <a16:creationId xmlns:a16="http://schemas.microsoft.com/office/drawing/2014/main" id="{F151E195-BE8D-4402-8D65-EE5C0DDB9E3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4" name="image1.png">
          <a:extLst>
            <a:ext uri="{FF2B5EF4-FFF2-40B4-BE49-F238E27FC236}">
              <a16:creationId xmlns:a16="http://schemas.microsoft.com/office/drawing/2014/main" id="{F654CA75-8724-4D79-A8FD-5C18539140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5" name="image2.png">
          <a:extLst>
            <a:ext uri="{FF2B5EF4-FFF2-40B4-BE49-F238E27FC236}">
              <a16:creationId xmlns:a16="http://schemas.microsoft.com/office/drawing/2014/main" id="{B3CC94C2-50CE-49CB-8FEA-88FD3B4E92D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6" name="image1.png">
          <a:extLst>
            <a:ext uri="{FF2B5EF4-FFF2-40B4-BE49-F238E27FC236}">
              <a16:creationId xmlns:a16="http://schemas.microsoft.com/office/drawing/2014/main" id="{E9BC241E-26FB-484E-A832-30F64E2A7A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7" name="image2.png">
          <a:extLst>
            <a:ext uri="{FF2B5EF4-FFF2-40B4-BE49-F238E27FC236}">
              <a16:creationId xmlns:a16="http://schemas.microsoft.com/office/drawing/2014/main" id="{4383E93D-7D6A-49F2-819B-0403DB0E147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18" name="image1.png">
          <a:extLst>
            <a:ext uri="{FF2B5EF4-FFF2-40B4-BE49-F238E27FC236}">
              <a16:creationId xmlns:a16="http://schemas.microsoft.com/office/drawing/2014/main" id="{5B4090AE-F73A-4093-B4F1-766F652656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9" name="image2.png">
          <a:extLst>
            <a:ext uri="{FF2B5EF4-FFF2-40B4-BE49-F238E27FC236}">
              <a16:creationId xmlns:a16="http://schemas.microsoft.com/office/drawing/2014/main" id="{2BC05817-A325-45A9-B18E-3F8A58ECB70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20" name="image1.png">
          <a:extLst>
            <a:ext uri="{FF2B5EF4-FFF2-40B4-BE49-F238E27FC236}">
              <a16:creationId xmlns:a16="http://schemas.microsoft.com/office/drawing/2014/main" id="{C7F01036-D39F-498D-B49C-26FB7E9D05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1" name="image2.png">
          <a:extLst>
            <a:ext uri="{FF2B5EF4-FFF2-40B4-BE49-F238E27FC236}">
              <a16:creationId xmlns:a16="http://schemas.microsoft.com/office/drawing/2014/main" id="{2A0F486F-327C-4FC3-9A97-629FDB52908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22" name="image1.png">
          <a:extLst>
            <a:ext uri="{FF2B5EF4-FFF2-40B4-BE49-F238E27FC236}">
              <a16:creationId xmlns:a16="http://schemas.microsoft.com/office/drawing/2014/main" id="{89AF4233-4941-44BA-B992-5F43A9A10A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3" name="image2.png">
          <a:extLst>
            <a:ext uri="{FF2B5EF4-FFF2-40B4-BE49-F238E27FC236}">
              <a16:creationId xmlns:a16="http://schemas.microsoft.com/office/drawing/2014/main" id="{24F6144A-2944-4D98-B81D-204FC1E7E59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24" name="image1.png">
          <a:extLst>
            <a:ext uri="{FF2B5EF4-FFF2-40B4-BE49-F238E27FC236}">
              <a16:creationId xmlns:a16="http://schemas.microsoft.com/office/drawing/2014/main" id="{18787E4B-9A5B-456B-B7DA-D48A97CFA7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5" name="image2.png">
          <a:extLst>
            <a:ext uri="{FF2B5EF4-FFF2-40B4-BE49-F238E27FC236}">
              <a16:creationId xmlns:a16="http://schemas.microsoft.com/office/drawing/2014/main" id="{F2163C72-9564-4B69-9E83-CEE6EF17521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6" name="image2.png">
          <a:extLst>
            <a:ext uri="{FF2B5EF4-FFF2-40B4-BE49-F238E27FC236}">
              <a16:creationId xmlns:a16="http://schemas.microsoft.com/office/drawing/2014/main" id="{F263E001-89AE-4DAD-A881-E7DE3D8F869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7" name="image2.png">
          <a:extLst>
            <a:ext uri="{FF2B5EF4-FFF2-40B4-BE49-F238E27FC236}">
              <a16:creationId xmlns:a16="http://schemas.microsoft.com/office/drawing/2014/main" id="{B4A992FB-4A14-41F3-A1E9-EDFEED3B684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8" name="image2.png">
          <a:extLst>
            <a:ext uri="{FF2B5EF4-FFF2-40B4-BE49-F238E27FC236}">
              <a16:creationId xmlns:a16="http://schemas.microsoft.com/office/drawing/2014/main" id="{1B2CABE7-B702-4D42-A8D5-DA9CD73EA3F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29" name="image2.png">
          <a:extLst>
            <a:ext uri="{FF2B5EF4-FFF2-40B4-BE49-F238E27FC236}">
              <a16:creationId xmlns:a16="http://schemas.microsoft.com/office/drawing/2014/main" id="{19BDD3EE-5655-47CF-8865-8BDC1654573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0" name="image2.png">
          <a:extLst>
            <a:ext uri="{FF2B5EF4-FFF2-40B4-BE49-F238E27FC236}">
              <a16:creationId xmlns:a16="http://schemas.microsoft.com/office/drawing/2014/main" id="{0BB9571D-BC77-46CC-817D-7CA69AF4955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1" name="image2.png">
          <a:extLst>
            <a:ext uri="{FF2B5EF4-FFF2-40B4-BE49-F238E27FC236}">
              <a16:creationId xmlns:a16="http://schemas.microsoft.com/office/drawing/2014/main" id="{E002A9B7-0703-4893-888F-BD46CD2402F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2" name="image2.png">
          <a:extLst>
            <a:ext uri="{FF2B5EF4-FFF2-40B4-BE49-F238E27FC236}">
              <a16:creationId xmlns:a16="http://schemas.microsoft.com/office/drawing/2014/main" id="{DA01CE4E-CF8C-49BC-8BCD-D143938DC76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3" name="image2.png">
          <a:extLst>
            <a:ext uri="{FF2B5EF4-FFF2-40B4-BE49-F238E27FC236}">
              <a16:creationId xmlns:a16="http://schemas.microsoft.com/office/drawing/2014/main" id="{A8B4E731-0612-4E41-9C5C-D403683FCE5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4" name="image2.png">
          <a:extLst>
            <a:ext uri="{FF2B5EF4-FFF2-40B4-BE49-F238E27FC236}">
              <a16:creationId xmlns:a16="http://schemas.microsoft.com/office/drawing/2014/main" id="{AE791FCF-E214-4F2A-94A5-C3724FE5B23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5" name="image2.png">
          <a:extLst>
            <a:ext uri="{FF2B5EF4-FFF2-40B4-BE49-F238E27FC236}">
              <a16:creationId xmlns:a16="http://schemas.microsoft.com/office/drawing/2014/main" id="{13E09B24-1068-4F5D-ADA2-3E1FBF2366F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6" name="image2.png">
          <a:extLst>
            <a:ext uri="{FF2B5EF4-FFF2-40B4-BE49-F238E27FC236}">
              <a16:creationId xmlns:a16="http://schemas.microsoft.com/office/drawing/2014/main" id="{973A3D89-2B0F-4076-BD64-BD971955768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7" name="image2.png">
          <a:extLst>
            <a:ext uri="{FF2B5EF4-FFF2-40B4-BE49-F238E27FC236}">
              <a16:creationId xmlns:a16="http://schemas.microsoft.com/office/drawing/2014/main" id="{5E85EDCF-B972-4B80-BC94-BE6B541045F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8" name="image2.png">
          <a:extLst>
            <a:ext uri="{FF2B5EF4-FFF2-40B4-BE49-F238E27FC236}">
              <a16:creationId xmlns:a16="http://schemas.microsoft.com/office/drawing/2014/main" id="{3001A9CB-2DAD-4F01-A807-79936B6F3F6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9" name="image2.png">
          <a:extLst>
            <a:ext uri="{FF2B5EF4-FFF2-40B4-BE49-F238E27FC236}">
              <a16:creationId xmlns:a16="http://schemas.microsoft.com/office/drawing/2014/main" id="{A952393A-3248-4BF6-8362-4DFB1CAD71C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0" name="image2.png">
          <a:extLst>
            <a:ext uri="{FF2B5EF4-FFF2-40B4-BE49-F238E27FC236}">
              <a16:creationId xmlns:a16="http://schemas.microsoft.com/office/drawing/2014/main" id="{C8A94DC3-444E-458C-A92A-9B6A888046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1" name="image2.png">
          <a:extLst>
            <a:ext uri="{FF2B5EF4-FFF2-40B4-BE49-F238E27FC236}">
              <a16:creationId xmlns:a16="http://schemas.microsoft.com/office/drawing/2014/main" id="{53751E54-6A39-465D-AC72-E13D1AB1771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2" name="image2.png">
          <a:extLst>
            <a:ext uri="{FF2B5EF4-FFF2-40B4-BE49-F238E27FC236}">
              <a16:creationId xmlns:a16="http://schemas.microsoft.com/office/drawing/2014/main" id="{E020D4DC-BC02-4768-B0F4-C0B49A0C858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3" name="image2.png">
          <a:extLst>
            <a:ext uri="{FF2B5EF4-FFF2-40B4-BE49-F238E27FC236}">
              <a16:creationId xmlns:a16="http://schemas.microsoft.com/office/drawing/2014/main" id="{779AC55C-E3D6-402F-A5D9-9E04148BBF0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4" name="image2.png">
          <a:extLst>
            <a:ext uri="{FF2B5EF4-FFF2-40B4-BE49-F238E27FC236}">
              <a16:creationId xmlns:a16="http://schemas.microsoft.com/office/drawing/2014/main" id="{ECE44A28-7CA1-444C-9759-724AA6CFF46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5" name="image2.png">
          <a:extLst>
            <a:ext uri="{FF2B5EF4-FFF2-40B4-BE49-F238E27FC236}">
              <a16:creationId xmlns:a16="http://schemas.microsoft.com/office/drawing/2014/main" id="{59EBF449-7FB0-4180-B588-3F719999A62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6" name="image2.png">
          <a:extLst>
            <a:ext uri="{FF2B5EF4-FFF2-40B4-BE49-F238E27FC236}">
              <a16:creationId xmlns:a16="http://schemas.microsoft.com/office/drawing/2014/main" id="{551896EE-CC59-4E00-A34C-7F790448FA0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7" name="image2.png">
          <a:extLst>
            <a:ext uri="{FF2B5EF4-FFF2-40B4-BE49-F238E27FC236}">
              <a16:creationId xmlns:a16="http://schemas.microsoft.com/office/drawing/2014/main" id="{679A66B3-6198-40CE-8194-07414CF315B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8" name="image2.png">
          <a:extLst>
            <a:ext uri="{FF2B5EF4-FFF2-40B4-BE49-F238E27FC236}">
              <a16:creationId xmlns:a16="http://schemas.microsoft.com/office/drawing/2014/main" id="{6AE405E5-47B8-4BEB-B792-3AF5160A5E2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49" name="image2.png">
          <a:extLst>
            <a:ext uri="{FF2B5EF4-FFF2-40B4-BE49-F238E27FC236}">
              <a16:creationId xmlns:a16="http://schemas.microsoft.com/office/drawing/2014/main" id="{BE4A99C7-B3DA-433B-9CE1-BAE86023311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50" name="image1.png">
          <a:extLst>
            <a:ext uri="{FF2B5EF4-FFF2-40B4-BE49-F238E27FC236}">
              <a16:creationId xmlns:a16="http://schemas.microsoft.com/office/drawing/2014/main" id="{CCAB8305-F5C9-401A-A84C-1FC6068BAD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51" name="image1.png">
          <a:extLst>
            <a:ext uri="{FF2B5EF4-FFF2-40B4-BE49-F238E27FC236}">
              <a16:creationId xmlns:a16="http://schemas.microsoft.com/office/drawing/2014/main" id="{61C3A630-121C-4348-BFCF-01703CCDB9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52" name="image1.png">
          <a:extLst>
            <a:ext uri="{FF2B5EF4-FFF2-40B4-BE49-F238E27FC236}">
              <a16:creationId xmlns:a16="http://schemas.microsoft.com/office/drawing/2014/main" id="{A7A9567C-8D50-4864-B097-76558DA4FC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53" name="image1.png">
          <a:extLst>
            <a:ext uri="{FF2B5EF4-FFF2-40B4-BE49-F238E27FC236}">
              <a16:creationId xmlns:a16="http://schemas.microsoft.com/office/drawing/2014/main" id="{55873FBA-621A-4BE9-8583-ACCE6718D1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54" name="image1.png">
          <a:extLst>
            <a:ext uri="{FF2B5EF4-FFF2-40B4-BE49-F238E27FC236}">
              <a16:creationId xmlns:a16="http://schemas.microsoft.com/office/drawing/2014/main" id="{BA3F4A9E-968F-429B-8E8A-1CE96CD14E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55" name="image1.png">
          <a:extLst>
            <a:ext uri="{FF2B5EF4-FFF2-40B4-BE49-F238E27FC236}">
              <a16:creationId xmlns:a16="http://schemas.microsoft.com/office/drawing/2014/main" id="{050B9A19-2B30-4463-8A6F-CD094D284E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56" name="image1.png">
          <a:extLst>
            <a:ext uri="{FF2B5EF4-FFF2-40B4-BE49-F238E27FC236}">
              <a16:creationId xmlns:a16="http://schemas.microsoft.com/office/drawing/2014/main" id="{7AC39431-23DB-466D-801F-CCA6C6E52C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57" name="image1.png">
          <a:extLst>
            <a:ext uri="{FF2B5EF4-FFF2-40B4-BE49-F238E27FC236}">
              <a16:creationId xmlns:a16="http://schemas.microsoft.com/office/drawing/2014/main" id="{FC75813F-A6C4-4F2E-AC94-DACE3AEC5A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58" name="image1.png">
          <a:extLst>
            <a:ext uri="{FF2B5EF4-FFF2-40B4-BE49-F238E27FC236}">
              <a16:creationId xmlns:a16="http://schemas.microsoft.com/office/drawing/2014/main" id="{01318D56-9D72-4013-8EC7-CD7F229547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59" name="image1.png">
          <a:extLst>
            <a:ext uri="{FF2B5EF4-FFF2-40B4-BE49-F238E27FC236}">
              <a16:creationId xmlns:a16="http://schemas.microsoft.com/office/drawing/2014/main" id="{9EB4337D-1008-45FD-A2E9-BAC9319B85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60" name="image1.png">
          <a:extLst>
            <a:ext uri="{FF2B5EF4-FFF2-40B4-BE49-F238E27FC236}">
              <a16:creationId xmlns:a16="http://schemas.microsoft.com/office/drawing/2014/main" id="{C6884DEB-A3E5-4A70-A340-B7055704C5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61" name="image1.png">
          <a:extLst>
            <a:ext uri="{FF2B5EF4-FFF2-40B4-BE49-F238E27FC236}">
              <a16:creationId xmlns:a16="http://schemas.microsoft.com/office/drawing/2014/main" id="{ED372056-69EC-45EF-890F-FD08F91D45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2" name="image2.png">
          <a:extLst>
            <a:ext uri="{FF2B5EF4-FFF2-40B4-BE49-F238E27FC236}">
              <a16:creationId xmlns:a16="http://schemas.microsoft.com/office/drawing/2014/main" id="{B15600E1-F2B8-48C2-B6A6-D4D9A0D961F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3" name="image2.png">
          <a:extLst>
            <a:ext uri="{FF2B5EF4-FFF2-40B4-BE49-F238E27FC236}">
              <a16:creationId xmlns:a16="http://schemas.microsoft.com/office/drawing/2014/main" id="{4D5AE7CE-A648-4776-9CBD-47D0474DE87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4" name="image2.png">
          <a:extLst>
            <a:ext uri="{FF2B5EF4-FFF2-40B4-BE49-F238E27FC236}">
              <a16:creationId xmlns:a16="http://schemas.microsoft.com/office/drawing/2014/main" id="{5C35B95A-D068-444B-A3AF-42CAC763E72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5" name="image2.png">
          <a:extLst>
            <a:ext uri="{FF2B5EF4-FFF2-40B4-BE49-F238E27FC236}">
              <a16:creationId xmlns:a16="http://schemas.microsoft.com/office/drawing/2014/main" id="{7CA85538-8FA0-42A7-A30B-A59318B88CC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6" name="image2.png">
          <a:extLst>
            <a:ext uri="{FF2B5EF4-FFF2-40B4-BE49-F238E27FC236}">
              <a16:creationId xmlns:a16="http://schemas.microsoft.com/office/drawing/2014/main" id="{46033D50-9C3A-486C-A13B-43CCA6C2B87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7" name="image2.png">
          <a:extLst>
            <a:ext uri="{FF2B5EF4-FFF2-40B4-BE49-F238E27FC236}">
              <a16:creationId xmlns:a16="http://schemas.microsoft.com/office/drawing/2014/main" id="{E411DEF4-464F-4E5E-ADB0-3B74D7FBF71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8" name="image2.png">
          <a:extLst>
            <a:ext uri="{FF2B5EF4-FFF2-40B4-BE49-F238E27FC236}">
              <a16:creationId xmlns:a16="http://schemas.microsoft.com/office/drawing/2014/main" id="{BB165DD9-832D-49B7-A71B-41766638251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9" name="image2.png">
          <a:extLst>
            <a:ext uri="{FF2B5EF4-FFF2-40B4-BE49-F238E27FC236}">
              <a16:creationId xmlns:a16="http://schemas.microsoft.com/office/drawing/2014/main" id="{7E290CCF-AE76-4E74-9CFE-01C0D547119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0" name="image2.png">
          <a:extLst>
            <a:ext uri="{FF2B5EF4-FFF2-40B4-BE49-F238E27FC236}">
              <a16:creationId xmlns:a16="http://schemas.microsoft.com/office/drawing/2014/main" id="{D77FFD4A-FF27-41CA-9157-D8B98203D9F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1" name="image2.png">
          <a:extLst>
            <a:ext uri="{FF2B5EF4-FFF2-40B4-BE49-F238E27FC236}">
              <a16:creationId xmlns:a16="http://schemas.microsoft.com/office/drawing/2014/main" id="{3681B69D-1CDE-4FE4-801B-EDAB076D17D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2" name="image2.png">
          <a:extLst>
            <a:ext uri="{FF2B5EF4-FFF2-40B4-BE49-F238E27FC236}">
              <a16:creationId xmlns:a16="http://schemas.microsoft.com/office/drawing/2014/main" id="{0918BA6F-1D00-4A76-B54A-DA49A1BD319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3" name="image2.png">
          <a:extLst>
            <a:ext uri="{FF2B5EF4-FFF2-40B4-BE49-F238E27FC236}">
              <a16:creationId xmlns:a16="http://schemas.microsoft.com/office/drawing/2014/main" id="{BD8B251B-F967-431B-A1A9-3EA69FCE1C8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4" name="image2.png">
          <a:extLst>
            <a:ext uri="{FF2B5EF4-FFF2-40B4-BE49-F238E27FC236}">
              <a16:creationId xmlns:a16="http://schemas.microsoft.com/office/drawing/2014/main" id="{5BB5FA40-D60D-4656-8B6F-DBFD7A7C485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5" name="image2.png">
          <a:extLst>
            <a:ext uri="{FF2B5EF4-FFF2-40B4-BE49-F238E27FC236}">
              <a16:creationId xmlns:a16="http://schemas.microsoft.com/office/drawing/2014/main" id="{AA4B9514-B116-4538-90FE-46A4C699804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6" name="image2.png">
          <a:extLst>
            <a:ext uri="{FF2B5EF4-FFF2-40B4-BE49-F238E27FC236}">
              <a16:creationId xmlns:a16="http://schemas.microsoft.com/office/drawing/2014/main" id="{EC01AA51-8024-4588-BC55-6A01C645C13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7" name="image2.png">
          <a:extLst>
            <a:ext uri="{FF2B5EF4-FFF2-40B4-BE49-F238E27FC236}">
              <a16:creationId xmlns:a16="http://schemas.microsoft.com/office/drawing/2014/main" id="{A09128CC-2987-426E-B481-533388A77A1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8" name="image2.png">
          <a:extLst>
            <a:ext uri="{FF2B5EF4-FFF2-40B4-BE49-F238E27FC236}">
              <a16:creationId xmlns:a16="http://schemas.microsoft.com/office/drawing/2014/main" id="{16CC9E61-F909-43FC-830D-BA7CEC03A4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9" name="image2.png">
          <a:extLst>
            <a:ext uri="{FF2B5EF4-FFF2-40B4-BE49-F238E27FC236}">
              <a16:creationId xmlns:a16="http://schemas.microsoft.com/office/drawing/2014/main" id="{022B9131-9704-47AF-87E6-AFED4BE818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0" name="image2.png">
          <a:extLst>
            <a:ext uri="{FF2B5EF4-FFF2-40B4-BE49-F238E27FC236}">
              <a16:creationId xmlns:a16="http://schemas.microsoft.com/office/drawing/2014/main" id="{2DB8AC91-C9F2-4A6C-A57A-685C0812C4D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1" name="image2.png">
          <a:extLst>
            <a:ext uri="{FF2B5EF4-FFF2-40B4-BE49-F238E27FC236}">
              <a16:creationId xmlns:a16="http://schemas.microsoft.com/office/drawing/2014/main" id="{BE26441F-A406-4971-AD42-10551A2E87A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2" name="image2.png">
          <a:extLst>
            <a:ext uri="{FF2B5EF4-FFF2-40B4-BE49-F238E27FC236}">
              <a16:creationId xmlns:a16="http://schemas.microsoft.com/office/drawing/2014/main" id="{3CC0D7B9-E166-42C6-BCE8-1E8CB8EC00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3" name="image2.png">
          <a:extLst>
            <a:ext uri="{FF2B5EF4-FFF2-40B4-BE49-F238E27FC236}">
              <a16:creationId xmlns:a16="http://schemas.microsoft.com/office/drawing/2014/main" id="{256A1BD2-D208-4A1F-82BB-7E6E3BE4BD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4" name="image2.png">
          <a:extLst>
            <a:ext uri="{FF2B5EF4-FFF2-40B4-BE49-F238E27FC236}">
              <a16:creationId xmlns:a16="http://schemas.microsoft.com/office/drawing/2014/main" id="{2D9CEEBB-9FCE-4D5A-9D44-958F4B76A63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5" name="image2.png">
          <a:extLst>
            <a:ext uri="{FF2B5EF4-FFF2-40B4-BE49-F238E27FC236}">
              <a16:creationId xmlns:a16="http://schemas.microsoft.com/office/drawing/2014/main" id="{A8F7BED0-7137-457C-A130-37951E97C88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6" name="image2.png">
          <a:extLst>
            <a:ext uri="{FF2B5EF4-FFF2-40B4-BE49-F238E27FC236}">
              <a16:creationId xmlns:a16="http://schemas.microsoft.com/office/drawing/2014/main" id="{A1CD796A-9645-497E-9F22-275DEA27CD1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7" name="image2.png">
          <a:extLst>
            <a:ext uri="{FF2B5EF4-FFF2-40B4-BE49-F238E27FC236}">
              <a16:creationId xmlns:a16="http://schemas.microsoft.com/office/drawing/2014/main" id="{C89D3178-9971-463E-AD7A-B912AD8BE81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8" name="image2.png">
          <a:extLst>
            <a:ext uri="{FF2B5EF4-FFF2-40B4-BE49-F238E27FC236}">
              <a16:creationId xmlns:a16="http://schemas.microsoft.com/office/drawing/2014/main" id="{207170C4-57AF-4F1D-8CB8-01D346BD747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9" name="image2.png">
          <a:extLst>
            <a:ext uri="{FF2B5EF4-FFF2-40B4-BE49-F238E27FC236}">
              <a16:creationId xmlns:a16="http://schemas.microsoft.com/office/drawing/2014/main" id="{A1649EE8-247D-453F-9121-C8BC9902CC2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0" name="image2.png">
          <a:extLst>
            <a:ext uri="{FF2B5EF4-FFF2-40B4-BE49-F238E27FC236}">
              <a16:creationId xmlns:a16="http://schemas.microsoft.com/office/drawing/2014/main" id="{1C2E34EA-7BCF-41E4-BCF4-3928E352DD7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1" name="image2.png">
          <a:extLst>
            <a:ext uri="{FF2B5EF4-FFF2-40B4-BE49-F238E27FC236}">
              <a16:creationId xmlns:a16="http://schemas.microsoft.com/office/drawing/2014/main" id="{1E34F251-5559-40E9-A02E-F5847676E0E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2" name="image2.png">
          <a:extLst>
            <a:ext uri="{FF2B5EF4-FFF2-40B4-BE49-F238E27FC236}">
              <a16:creationId xmlns:a16="http://schemas.microsoft.com/office/drawing/2014/main" id="{F949B5A0-5563-416D-851C-D588642889B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3" name="image2.png">
          <a:extLst>
            <a:ext uri="{FF2B5EF4-FFF2-40B4-BE49-F238E27FC236}">
              <a16:creationId xmlns:a16="http://schemas.microsoft.com/office/drawing/2014/main" id="{D5E1B604-6407-4B9E-9E76-397CCF5F8F7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4" name="image2.png">
          <a:extLst>
            <a:ext uri="{FF2B5EF4-FFF2-40B4-BE49-F238E27FC236}">
              <a16:creationId xmlns:a16="http://schemas.microsoft.com/office/drawing/2014/main" id="{40D865CD-AE03-48D7-8F9D-A6F459684AF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5" name="image2.png">
          <a:extLst>
            <a:ext uri="{FF2B5EF4-FFF2-40B4-BE49-F238E27FC236}">
              <a16:creationId xmlns:a16="http://schemas.microsoft.com/office/drawing/2014/main" id="{7B7BEB71-51A6-41E2-B284-268C4A27A11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6" name="image2.png">
          <a:extLst>
            <a:ext uri="{FF2B5EF4-FFF2-40B4-BE49-F238E27FC236}">
              <a16:creationId xmlns:a16="http://schemas.microsoft.com/office/drawing/2014/main" id="{61347452-A6AD-412B-8E22-350AC3A0E3A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7" name="image2.png">
          <a:extLst>
            <a:ext uri="{FF2B5EF4-FFF2-40B4-BE49-F238E27FC236}">
              <a16:creationId xmlns:a16="http://schemas.microsoft.com/office/drawing/2014/main" id="{9E4C93BC-1973-4488-AFDE-A5AA31CAF03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8" name="image2.png">
          <a:extLst>
            <a:ext uri="{FF2B5EF4-FFF2-40B4-BE49-F238E27FC236}">
              <a16:creationId xmlns:a16="http://schemas.microsoft.com/office/drawing/2014/main" id="{0CEEE5C5-2003-496F-A689-44CAD98AF67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9" name="image2.png">
          <a:extLst>
            <a:ext uri="{FF2B5EF4-FFF2-40B4-BE49-F238E27FC236}">
              <a16:creationId xmlns:a16="http://schemas.microsoft.com/office/drawing/2014/main" id="{DC0E1565-8245-48E0-BC5F-933A428836E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00" name="image2.png">
          <a:extLst>
            <a:ext uri="{FF2B5EF4-FFF2-40B4-BE49-F238E27FC236}">
              <a16:creationId xmlns:a16="http://schemas.microsoft.com/office/drawing/2014/main" id="{4E3009D0-E890-49B5-A174-34CBBB3EEA8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01" name="image2.png">
          <a:extLst>
            <a:ext uri="{FF2B5EF4-FFF2-40B4-BE49-F238E27FC236}">
              <a16:creationId xmlns:a16="http://schemas.microsoft.com/office/drawing/2014/main" id="{5096B0AB-A008-4FED-B10E-133C7CF02E8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02" name="image2.png">
          <a:extLst>
            <a:ext uri="{FF2B5EF4-FFF2-40B4-BE49-F238E27FC236}">
              <a16:creationId xmlns:a16="http://schemas.microsoft.com/office/drawing/2014/main" id="{10BD0082-124D-4E44-AABE-39069A52063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03" name="image2.png">
          <a:extLst>
            <a:ext uri="{FF2B5EF4-FFF2-40B4-BE49-F238E27FC236}">
              <a16:creationId xmlns:a16="http://schemas.microsoft.com/office/drawing/2014/main" id="{161DA906-E329-4FED-9402-32E0D387ED9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04" name="image2.png">
          <a:extLst>
            <a:ext uri="{FF2B5EF4-FFF2-40B4-BE49-F238E27FC236}">
              <a16:creationId xmlns:a16="http://schemas.microsoft.com/office/drawing/2014/main" id="{01C8726D-E0FC-4474-BC50-E08787A91FE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05" name="image2.png">
          <a:extLst>
            <a:ext uri="{FF2B5EF4-FFF2-40B4-BE49-F238E27FC236}">
              <a16:creationId xmlns:a16="http://schemas.microsoft.com/office/drawing/2014/main" id="{5D367F47-DA7B-4D56-94FE-F53AD300714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06" name="image2.png">
          <a:extLst>
            <a:ext uri="{FF2B5EF4-FFF2-40B4-BE49-F238E27FC236}">
              <a16:creationId xmlns:a16="http://schemas.microsoft.com/office/drawing/2014/main" id="{D1F8E811-4F25-4378-8A4E-9C8087EE294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07" name="image2.png">
          <a:extLst>
            <a:ext uri="{FF2B5EF4-FFF2-40B4-BE49-F238E27FC236}">
              <a16:creationId xmlns:a16="http://schemas.microsoft.com/office/drawing/2014/main" id="{41F095D8-EBC9-4A28-A3EB-3F8B404178E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08" name="image2.png">
          <a:extLst>
            <a:ext uri="{FF2B5EF4-FFF2-40B4-BE49-F238E27FC236}">
              <a16:creationId xmlns:a16="http://schemas.microsoft.com/office/drawing/2014/main" id="{649C1ED8-7BCF-47F4-959C-C39717FD2D7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09" name="image2.png">
          <a:extLst>
            <a:ext uri="{FF2B5EF4-FFF2-40B4-BE49-F238E27FC236}">
              <a16:creationId xmlns:a16="http://schemas.microsoft.com/office/drawing/2014/main" id="{C9F98456-5228-4FE9-95CD-1A7C9E5455C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0" name="image2.png">
          <a:extLst>
            <a:ext uri="{FF2B5EF4-FFF2-40B4-BE49-F238E27FC236}">
              <a16:creationId xmlns:a16="http://schemas.microsoft.com/office/drawing/2014/main" id="{CFCA2066-C249-414B-90A9-176274125B0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1" name="image2.png">
          <a:extLst>
            <a:ext uri="{FF2B5EF4-FFF2-40B4-BE49-F238E27FC236}">
              <a16:creationId xmlns:a16="http://schemas.microsoft.com/office/drawing/2014/main" id="{C3B57914-59D7-4E4C-8FBC-A79CB773DC8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2" name="image2.png">
          <a:extLst>
            <a:ext uri="{FF2B5EF4-FFF2-40B4-BE49-F238E27FC236}">
              <a16:creationId xmlns:a16="http://schemas.microsoft.com/office/drawing/2014/main" id="{13AF7648-63DC-4B06-A0FF-69BD5DC844F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3" name="image2.png">
          <a:extLst>
            <a:ext uri="{FF2B5EF4-FFF2-40B4-BE49-F238E27FC236}">
              <a16:creationId xmlns:a16="http://schemas.microsoft.com/office/drawing/2014/main" id="{10F172B9-279C-46C7-980D-6F99358390D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4" name="image2.png">
          <a:extLst>
            <a:ext uri="{FF2B5EF4-FFF2-40B4-BE49-F238E27FC236}">
              <a16:creationId xmlns:a16="http://schemas.microsoft.com/office/drawing/2014/main" id="{EBB0BBA3-0B46-4E34-BBC5-11D6665B358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5" name="image2.png">
          <a:extLst>
            <a:ext uri="{FF2B5EF4-FFF2-40B4-BE49-F238E27FC236}">
              <a16:creationId xmlns:a16="http://schemas.microsoft.com/office/drawing/2014/main" id="{6AD3EFF5-6492-46D4-AF7D-E5EE9AF18C6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6" name="image2.png">
          <a:extLst>
            <a:ext uri="{FF2B5EF4-FFF2-40B4-BE49-F238E27FC236}">
              <a16:creationId xmlns:a16="http://schemas.microsoft.com/office/drawing/2014/main" id="{FBA6FFE4-1A03-4697-B412-AA59F479597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7" name="image2.png">
          <a:extLst>
            <a:ext uri="{FF2B5EF4-FFF2-40B4-BE49-F238E27FC236}">
              <a16:creationId xmlns:a16="http://schemas.microsoft.com/office/drawing/2014/main" id="{2B66B0E0-AEFF-44C3-867D-539A4F4BBC1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8" name="image2.png">
          <a:extLst>
            <a:ext uri="{FF2B5EF4-FFF2-40B4-BE49-F238E27FC236}">
              <a16:creationId xmlns:a16="http://schemas.microsoft.com/office/drawing/2014/main" id="{955AD560-C2F6-493D-8543-4570BCFE3FE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9" name="image2.png">
          <a:extLst>
            <a:ext uri="{FF2B5EF4-FFF2-40B4-BE49-F238E27FC236}">
              <a16:creationId xmlns:a16="http://schemas.microsoft.com/office/drawing/2014/main" id="{D3FDD104-7F90-4996-8026-674C64DC223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20" name="image2.png">
          <a:extLst>
            <a:ext uri="{FF2B5EF4-FFF2-40B4-BE49-F238E27FC236}">
              <a16:creationId xmlns:a16="http://schemas.microsoft.com/office/drawing/2014/main" id="{5D833AAA-43C0-43AD-B6C0-DC65C64FCF6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21" name="image2.png">
          <a:extLst>
            <a:ext uri="{FF2B5EF4-FFF2-40B4-BE49-F238E27FC236}">
              <a16:creationId xmlns:a16="http://schemas.microsoft.com/office/drawing/2014/main" id="{3B67BE11-DDAE-4592-B810-C420E21309B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22" name="image2.png">
          <a:extLst>
            <a:ext uri="{FF2B5EF4-FFF2-40B4-BE49-F238E27FC236}">
              <a16:creationId xmlns:a16="http://schemas.microsoft.com/office/drawing/2014/main" id="{EFDDFD1B-D007-44DA-8EC7-6F65CB59C27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23" name="image2.png">
          <a:extLst>
            <a:ext uri="{FF2B5EF4-FFF2-40B4-BE49-F238E27FC236}">
              <a16:creationId xmlns:a16="http://schemas.microsoft.com/office/drawing/2014/main" id="{B4C7816C-9242-4EA0-A59D-773BA31A356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24" name="image2.png">
          <a:extLst>
            <a:ext uri="{FF2B5EF4-FFF2-40B4-BE49-F238E27FC236}">
              <a16:creationId xmlns:a16="http://schemas.microsoft.com/office/drawing/2014/main" id="{3819848C-5844-4FB0-8BF4-41559204E93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25" name="image2.png">
          <a:extLst>
            <a:ext uri="{FF2B5EF4-FFF2-40B4-BE49-F238E27FC236}">
              <a16:creationId xmlns:a16="http://schemas.microsoft.com/office/drawing/2014/main" id="{09B54DC2-7961-4458-9B2F-5CD26D40D30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26" name="image2.png">
          <a:extLst>
            <a:ext uri="{FF2B5EF4-FFF2-40B4-BE49-F238E27FC236}">
              <a16:creationId xmlns:a16="http://schemas.microsoft.com/office/drawing/2014/main" id="{94A08FC7-1E2F-4503-8E9D-2422F7C9F6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27" name="image2.png">
          <a:extLst>
            <a:ext uri="{FF2B5EF4-FFF2-40B4-BE49-F238E27FC236}">
              <a16:creationId xmlns:a16="http://schemas.microsoft.com/office/drawing/2014/main" id="{820B39D8-7A0B-4A37-AFBC-B29BDAF04D7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28" name="image2.png">
          <a:extLst>
            <a:ext uri="{FF2B5EF4-FFF2-40B4-BE49-F238E27FC236}">
              <a16:creationId xmlns:a16="http://schemas.microsoft.com/office/drawing/2014/main" id="{EAF11F67-12C7-421C-92D5-724F10B978A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29" name="image2.png">
          <a:extLst>
            <a:ext uri="{FF2B5EF4-FFF2-40B4-BE49-F238E27FC236}">
              <a16:creationId xmlns:a16="http://schemas.microsoft.com/office/drawing/2014/main" id="{052AD993-705E-40F9-B867-A118FC68FA9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67100" y="20478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1771649</xdr:colOff>
      <xdr:row>11</xdr:row>
      <xdr:rowOff>104775</xdr:rowOff>
    </xdr:from>
    <xdr:to>
      <xdr:col>10</xdr:col>
      <xdr:colOff>323850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419100</xdr:colOff>
      <xdr:row>14</xdr:row>
      <xdr:rowOff>85725</xdr:rowOff>
    </xdr:from>
    <xdr:to>
      <xdr:col>4</xdr:col>
      <xdr:colOff>428625</xdr:colOff>
      <xdr:row>31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E4B7963-374A-B064-0383-672DF017235E}"/>
            </a:ext>
          </a:extLst>
        </xdr:cNvPr>
        <xdr:cNvCxnSpPr/>
      </xdr:nvCxnSpPr>
      <xdr:spPr>
        <a:xfrm flipH="1">
          <a:off x="5353050" y="2752725"/>
          <a:ext cx="9525" cy="3267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790575</xdr:colOff>
      <xdr:row>14</xdr:row>
      <xdr:rowOff>95250</xdr:rowOff>
    </xdr:from>
    <xdr:to>
      <xdr:col>9</xdr:col>
      <xdr:colOff>800100</xdr:colOff>
      <xdr:row>31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9648AD3-0D86-42C6-9DAB-BBA443FDEAF6}"/>
            </a:ext>
          </a:extLst>
        </xdr:cNvPr>
        <xdr:cNvCxnSpPr/>
      </xdr:nvCxnSpPr>
      <xdr:spPr>
        <a:xfrm flipH="1">
          <a:off x="9267825" y="2762250"/>
          <a:ext cx="9525" cy="3267075"/>
        </a:xfrm>
        <a:prstGeom prst="line">
          <a:avLst/>
        </a:prstGeom>
        <a:ln w="19050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14</xdr:row>
      <xdr:rowOff>76200</xdr:rowOff>
    </xdr:from>
    <xdr:to>
      <xdr:col>4</xdr:col>
      <xdr:colOff>104775</xdr:colOff>
      <xdr:row>31</xdr:row>
      <xdr:rowOff>104775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AEC8E62-967E-40CD-916A-A416CC3E1933}"/>
            </a:ext>
          </a:extLst>
        </xdr:cNvPr>
        <xdr:cNvCxnSpPr/>
      </xdr:nvCxnSpPr>
      <xdr:spPr>
        <a:xfrm flipH="1">
          <a:off x="5029200" y="2743200"/>
          <a:ext cx="9525" cy="3267075"/>
        </a:xfrm>
        <a:prstGeom prst="line">
          <a:avLst/>
        </a:prstGeom>
        <a:ln w="19050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fullratio.com/ebitda-multiples-by-industry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8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43" sqref="I143"/>
    </sheetView>
  </sheetViews>
  <sheetFormatPr defaultRowHeight="15"/>
  <cols>
    <col min="1" max="1" width="44.42578125" customWidth="1"/>
    <col min="2" max="2" width="1.5703125" customWidth="1"/>
    <col min="3" max="5" width="12.28515625" bestFit="1" customWidth="1"/>
    <col min="6" max="6" width="14.140625" customWidth="1"/>
    <col min="7" max="7" width="12.28515625" bestFit="1" customWidth="1"/>
    <col min="8" max="8" width="12.28515625" customWidth="1"/>
    <col min="9" max="10" width="12.5703125" bestFit="1" customWidth="1"/>
  </cols>
  <sheetData>
    <row r="2" spans="1:10">
      <c r="A2" s="51" t="s">
        <v>53</v>
      </c>
      <c r="B2" s="31"/>
      <c r="C2" s="4" t="s">
        <v>4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</row>
    <row r="3" spans="1:10">
      <c r="A3" s="2"/>
      <c r="B3" s="31"/>
      <c r="C3" s="33" t="s">
        <v>5</v>
      </c>
      <c r="D3" s="33" t="s">
        <v>6</v>
      </c>
      <c r="E3" s="33" t="s">
        <v>7</v>
      </c>
      <c r="F3" s="33" t="s">
        <v>8</v>
      </c>
      <c r="G3" s="33" t="s">
        <v>9</v>
      </c>
      <c r="H3" s="33" t="s">
        <v>10</v>
      </c>
    </row>
    <row r="4" spans="1:10">
      <c r="A4" s="81" t="s">
        <v>109</v>
      </c>
      <c r="B4" s="52"/>
      <c r="C4" s="11"/>
      <c r="D4" s="11"/>
      <c r="E4" s="11"/>
      <c r="F4" s="11"/>
      <c r="G4" s="11"/>
      <c r="H4" s="11"/>
    </row>
    <row r="5" spans="1:10">
      <c r="A5" s="50" t="s">
        <v>52</v>
      </c>
    </row>
    <row r="6" spans="1:10">
      <c r="A6" s="35"/>
      <c r="C6" s="86"/>
      <c r="D6" s="86"/>
      <c r="E6" s="86"/>
      <c r="F6" s="86"/>
      <c r="G6" s="86"/>
      <c r="H6" s="86"/>
      <c r="I6" s="21"/>
      <c r="J6" s="21"/>
    </row>
    <row r="7" spans="1:10">
      <c r="A7" s="139" t="s">
        <v>212</v>
      </c>
      <c r="C7" s="86">
        <v>106366</v>
      </c>
      <c r="D7" s="86">
        <v>96733</v>
      </c>
      <c r="E7" s="86">
        <v>101308</v>
      </c>
      <c r="F7" s="86">
        <v>128378</v>
      </c>
      <c r="G7" s="86">
        <v>141445</v>
      </c>
      <c r="H7" s="86">
        <v>157509</v>
      </c>
      <c r="I7" s="21"/>
      <c r="J7" s="21"/>
    </row>
    <row r="8" spans="1:10">
      <c r="A8" s="139" t="s">
        <v>213</v>
      </c>
      <c r="C8" s="86">
        <v>16111</v>
      </c>
      <c r="D8" s="86">
        <v>11586</v>
      </c>
      <c r="E8" s="86">
        <v>12172</v>
      </c>
      <c r="F8" s="86">
        <v>15420</v>
      </c>
      <c r="G8" s="86">
        <v>15949</v>
      </c>
      <c r="H8" s="86">
        <v>13890</v>
      </c>
      <c r="I8" s="21"/>
      <c r="J8" s="21"/>
    </row>
    <row r="9" spans="1:10">
      <c r="A9" t="s">
        <v>214</v>
      </c>
      <c r="C9" s="86">
        <v>100</v>
      </c>
      <c r="D9" s="86">
        <v>103</v>
      </c>
      <c r="E9" s="86">
        <v>106</v>
      </c>
      <c r="F9" s="86">
        <v>102</v>
      </c>
      <c r="G9" s="86">
        <v>102</v>
      </c>
      <c r="H9" s="86">
        <v>257</v>
      </c>
      <c r="I9" s="21"/>
      <c r="J9" s="21"/>
    </row>
    <row r="10" spans="1:10">
      <c r="A10" t="s">
        <v>179</v>
      </c>
      <c r="C10" s="86">
        <v>14554</v>
      </c>
      <c r="D10" s="86">
        <v>13831</v>
      </c>
      <c r="E10" s="86">
        <v>13419</v>
      </c>
      <c r="F10" s="86">
        <v>12766</v>
      </c>
      <c r="G10" s="86">
        <v>14225</v>
      </c>
      <c r="H10" s="86">
        <v>15875</v>
      </c>
      <c r="I10" s="21"/>
      <c r="J10" s="21"/>
    </row>
    <row r="11" spans="1:10">
      <c r="A11" s="140" t="s">
        <v>15</v>
      </c>
      <c r="C11" s="86">
        <v>220</v>
      </c>
      <c r="D11" s="86">
        <v>350</v>
      </c>
      <c r="E11" s="86">
        <v>104</v>
      </c>
      <c r="F11" s="86">
        <v>177</v>
      </c>
      <c r="G11" s="86">
        <v>273</v>
      </c>
      <c r="H11" s="86">
        <v>206</v>
      </c>
      <c r="I11" s="21"/>
      <c r="J11" s="21"/>
    </row>
    <row r="12" spans="1:10">
      <c r="A12" s="35" t="s">
        <v>17</v>
      </c>
      <c r="C12" s="86">
        <v>-114</v>
      </c>
      <c r="D12" s="86">
        <v>-118</v>
      </c>
      <c r="E12" s="86">
        <v>-105</v>
      </c>
      <c r="F12" s="86">
        <v>-107</v>
      </c>
      <c r="G12" s="86">
        <v>-151</v>
      </c>
      <c r="H12" s="86">
        <v>-296</v>
      </c>
      <c r="I12" s="21"/>
      <c r="J12" s="21"/>
    </row>
    <row r="13" spans="1:10">
      <c r="A13" s="35"/>
      <c r="C13" s="86"/>
      <c r="D13" s="86"/>
      <c r="E13" s="86"/>
      <c r="F13" s="86"/>
      <c r="G13" s="86"/>
      <c r="H13" s="86"/>
      <c r="I13" s="21"/>
      <c r="J13" s="21"/>
    </row>
    <row r="14" spans="1:10" s="50" customFormat="1">
      <c r="A14" s="53" t="s">
        <v>19</v>
      </c>
      <c r="C14" s="50">
        <f t="shared" ref="C14:H14" si="0">SUM(C6:C13)</f>
        <v>137237</v>
      </c>
      <c r="D14" s="50">
        <f t="shared" si="0"/>
        <v>122485</v>
      </c>
      <c r="E14" s="50">
        <f t="shared" si="0"/>
        <v>127004</v>
      </c>
      <c r="F14" s="50">
        <f t="shared" si="0"/>
        <v>156736</v>
      </c>
      <c r="G14" s="50">
        <f t="shared" si="0"/>
        <v>171843</v>
      </c>
      <c r="H14" s="50">
        <f t="shared" si="0"/>
        <v>187441</v>
      </c>
      <c r="I14" s="22"/>
      <c r="J14" s="22"/>
    </row>
    <row r="15" spans="1:10">
      <c r="A15" s="90" t="s">
        <v>37</v>
      </c>
      <c r="C15" s="79"/>
      <c r="D15" s="79"/>
      <c r="E15" s="79"/>
      <c r="F15" s="89"/>
      <c r="G15" s="79"/>
      <c r="H15" s="89"/>
      <c r="I15" s="21"/>
      <c r="J15" s="21"/>
    </row>
    <row r="16" spans="1:10" s="50" customFormat="1">
      <c r="A16" s="53"/>
      <c r="I16" s="22"/>
      <c r="J16" s="22"/>
    </row>
    <row r="17" spans="1:11" s="50" customFormat="1" hidden="1">
      <c r="A17" s="43" t="s">
        <v>266</v>
      </c>
      <c r="C17" s="786"/>
      <c r="D17" s="786"/>
      <c r="E17" s="786"/>
      <c r="F17" s="786"/>
      <c r="G17" s="786"/>
      <c r="H17" s="80"/>
      <c r="I17" s="22"/>
      <c r="J17" s="75"/>
    </row>
    <row r="18" spans="1:11" s="50" customFormat="1" hidden="1">
      <c r="A18" s="139" t="s">
        <v>212</v>
      </c>
      <c r="C18" s="87"/>
      <c r="D18" s="87"/>
      <c r="E18" s="87"/>
      <c r="F18" s="87"/>
      <c r="G18" s="87"/>
      <c r="H18" s="87"/>
      <c r="I18" s="21"/>
      <c r="J18" s="76"/>
    </row>
    <row r="19" spans="1:11" s="50" customFormat="1" hidden="1">
      <c r="A19" s="139" t="s">
        <v>213</v>
      </c>
      <c r="D19" s="87"/>
      <c r="E19" s="87"/>
      <c r="F19" s="87"/>
      <c r="G19" s="87"/>
      <c r="H19" s="87"/>
      <c r="I19" s="21"/>
      <c r="J19" s="76"/>
      <c r="K19" s="87"/>
    </row>
    <row r="20" spans="1:11" s="50" customFormat="1" hidden="1">
      <c r="A20" t="s">
        <v>214</v>
      </c>
      <c r="C20" s="87"/>
      <c r="D20" s="87"/>
      <c r="E20" s="87"/>
      <c r="F20" s="87"/>
      <c r="G20" s="87"/>
      <c r="H20" s="87"/>
      <c r="I20" s="21"/>
      <c r="J20" s="76"/>
    </row>
    <row r="21" spans="1:11" s="50" customFormat="1" hidden="1">
      <c r="A21" t="s">
        <v>179</v>
      </c>
      <c r="C21" s="87"/>
      <c r="D21" s="87"/>
      <c r="E21" s="87"/>
      <c r="F21" s="87"/>
      <c r="G21" s="87"/>
      <c r="H21" s="87"/>
      <c r="I21" s="21"/>
      <c r="J21" s="76" t="s">
        <v>270</v>
      </c>
    </row>
    <row r="22" spans="1:11" s="50" customFormat="1" hidden="1">
      <c r="A22" s="140" t="s">
        <v>15</v>
      </c>
      <c r="C22" s="87"/>
      <c r="D22" s="87"/>
      <c r="E22" s="87"/>
      <c r="F22" s="87"/>
      <c r="G22" s="87"/>
      <c r="H22" s="87"/>
      <c r="I22" s="21"/>
      <c r="J22" s="76"/>
    </row>
    <row r="23" spans="1:11" s="50" customFormat="1" hidden="1">
      <c r="A23" s="35" t="s">
        <v>17</v>
      </c>
      <c r="C23" s="87"/>
      <c r="D23" s="87"/>
      <c r="E23" s="87"/>
      <c r="F23" s="87"/>
      <c r="G23" s="87"/>
      <c r="H23" s="87"/>
      <c r="I23" s="21"/>
      <c r="J23" s="76"/>
    </row>
    <row r="24" spans="1:11" s="50" customFormat="1" hidden="1">
      <c r="A24" s="35"/>
      <c r="C24" s="87"/>
      <c r="D24" s="87"/>
      <c r="E24" s="87"/>
      <c r="F24" s="87"/>
      <c r="G24" s="87"/>
      <c r="H24" s="87"/>
      <c r="I24" s="21"/>
      <c r="J24" s="76"/>
    </row>
    <row r="25" spans="1:11" s="50" customFormat="1" hidden="1">
      <c r="A25" s="35"/>
      <c r="C25" s="87"/>
      <c r="D25" s="87"/>
      <c r="E25" s="87"/>
      <c r="F25" s="87"/>
      <c r="G25" s="87"/>
      <c r="H25" s="87"/>
      <c r="I25" s="21"/>
      <c r="J25" s="21"/>
    </row>
    <row r="26" spans="1:11" s="50" customFormat="1" hidden="1">
      <c r="A26" s="53" t="s">
        <v>19</v>
      </c>
      <c r="C26" s="88"/>
      <c r="D26" s="88"/>
      <c r="E26" s="88"/>
      <c r="F26" s="88"/>
      <c r="G26" s="88"/>
      <c r="H26" s="88"/>
      <c r="I26" s="22"/>
      <c r="J26" s="77"/>
    </row>
    <row r="27" spans="1:11" s="50" customFormat="1" hidden="1">
      <c r="A27" s="90" t="s">
        <v>37</v>
      </c>
      <c r="C27" s="69"/>
      <c r="D27" s="69"/>
      <c r="E27" s="69"/>
      <c r="F27" s="70"/>
      <c r="G27" s="69"/>
      <c r="H27" s="70"/>
      <c r="I27" s="22"/>
      <c r="J27" s="22"/>
    </row>
    <row r="28" spans="1:11" s="50" customFormat="1">
      <c r="A28" s="53"/>
      <c r="C28" s="69"/>
      <c r="D28" s="69"/>
      <c r="E28" s="69"/>
      <c r="F28" s="70"/>
      <c r="G28" s="69"/>
      <c r="H28" s="70"/>
      <c r="I28" s="22"/>
      <c r="J28" s="22"/>
    </row>
    <row r="29" spans="1:11">
      <c r="A29" s="81" t="s">
        <v>108</v>
      </c>
      <c r="I29" s="21"/>
      <c r="J29" s="21"/>
    </row>
    <row r="30" spans="1:11">
      <c r="A30" s="1" t="s">
        <v>110</v>
      </c>
      <c r="I30" s="21"/>
      <c r="J30" s="21"/>
    </row>
    <row r="31" spans="1:11">
      <c r="A31" s="35" t="s">
        <v>159</v>
      </c>
      <c r="C31" s="86">
        <v>122697</v>
      </c>
      <c r="D31" s="86">
        <v>108673</v>
      </c>
      <c r="E31" s="86">
        <v>113590</v>
      </c>
      <c r="F31" s="86">
        <v>143975</v>
      </c>
      <c r="G31" s="86">
        <v>157658</v>
      </c>
      <c r="H31" s="86">
        <v>171606</v>
      </c>
      <c r="I31" s="21" t="s">
        <v>120</v>
      </c>
      <c r="J31" s="21" t="s">
        <v>121</v>
      </c>
    </row>
    <row r="32" spans="1:11">
      <c r="A32" s="35" t="s">
        <v>179</v>
      </c>
      <c r="C32" s="86">
        <v>14540</v>
      </c>
      <c r="D32" s="86">
        <v>13812</v>
      </c>
      <c r="E32" s="86">
        <v>13414</v>
      </c>
      <c r="F32" s="86">
        <v>12760</v>
      </c>
      <c r="G32" s="86">
        <v>14184</v>
      </c>
      <c r="H32" s="86">
        <v>15836</v>
      </c>
      <c r="I32" s="21" t="s">
        <v>120</v>
      </c>
      <c r="J32" s="21" t="s">
        <v>121</v>
      </c>
    </row>
    <row r="33" spans="1:10" s="1" customFormat="1">
      <c r="A33" s="35" t="s">
        <v>180</v>
      </c>
      <c r="C33" s="100">
        <f t="shared" ref="C33:H33" si="1">C31+C32</f>
        <v>137237</v>
      </c>
      <c r="D33" s="100">
        <f t="shared" si="1"/>
        <v>122485</v>
      </c>
      <c r="E33" s="100">
        <f t="shared" si="1"/>
        <v>127004</v>
      </c>
      <c r="F33" s="100">
        <f t="shared" si="1"/>
        <v>156735</v>
      </c>
      <c r="G33" s="100">
        <f t="shared" si="1"/>
        <v>171842</v>
      </c>
      <c r="H33" s="100">
        <f t="shared" si="1"/>
        <v>187442</v>
      </c>
      <c r="I33" s="22"/>
      <c r="J33" s="22"/>
    </row>
    <row r="34" spans="1:10" s="1" customFormat="1">
      <c r="A34" s="98"/>
      <c r="D34" s="86"/>
      <c r="E34" s="86"/>
      <c r="G34" s="86"/>
      <c r="H34" s="86"/>
      <c r="I34" s="22"/>
      <c r="J34" s="22"/>
    </row>
    <row r="35" spans="1:10">
      <c r="A35" s="268" t="s">
        <v>181</v>
      </c>
      <c r="C35" s="86"/>
      <c r="D35" s="86"/>
      <c r="E35" s="86"/>
      <c r="F35" s="86"/>
      <c r="G35" s="86"/>
      <c r="H35" s="86"/>
      <c r="I35" s="21"/>
      <c r="J35" s="21"/>
    </row>
    <row r="36" spans="1:10">
      <c r="A36" s="35" t="s">
        <v>272</v>
      </c>
      <c r="C36" s="86">
        <v>110651</v>
      </c>
      <c r="D36" s="86">
        <v>97539</v>
      </c>
      <c r="E36" s="86">
        <v>100544</v>
      </c>
      <c r="F36" s="86">
        <v>126892</v>
      </c>
      <c r="G36" s="86">
        <v>141330</v>
      </c>
      <c r="H36" s="86">
        <v>151065</v>
      </c>
      <c r="I36" s="21"/>
      <c r="J36" s="21"/>
    </row>
    <row r="37" spans="1:10" s="1" customFormat="1">
      <c r="A37" s="35" t="s">
        <v>182</v>
      </c>
      <c r="C37" s="86">
        <v>12614</v>
      </c>
      <c r="D37" s="86">
        <v>11274</v>
      </c>
      <c r="E37" s="86">
        <v>8582</v>
      </c>
      <c r="F37" s="86">
        <v>8862</v>
      </c>
      <c r="G37" s="86">
        <v>11374</v>
      </c>
      <c r="H37" s="86">
        <v>12972</v>
      </c>
      <c r="I37" s="22"/>
      <c r="J37" s="22"/>
    </row>
    <row r="38" spans="1:10">
      <c r="A38" s="269" t="s">
        <v>271</v>
      </c>
      <c r="C38" s="271">
        <f>C36+C37</f>
        <v>123265</v>
      </c>
      <c r="D38" s="271">
        <f t="shared" ref="D38:H38" si="2">D36+D37</f>
        <v>108813</v>
      </c>
      <c r="E38" s="271">
        <f t="shared" si="2"/>
        <v>109126</v>
      </c>
      <c r="F38" s="271">
        <f t="shared" si="2"/>
        <v>135754</v>
      </c>
      <c r="G38" s="271">
        <f t="shared" si="2"/>
        <v>152704</v>
      </c>
      <c r="H38" s="271">
        <f t="shared" si="2"/>
        <v>164037</v>
      </c>
      <c r="I38" s="21"/>
      <c r="J38" s="21"/>
    </row>
    <row r="39" spans="1:10">
      <c r="A39" s="35"/>
      <c r="C39" s="86"/>
      <c r="D39" s="86"/>
      <c r="E39" s="86"/>
      <c r="F39" s="86"/>
      <c r="G39" s="86"/>
      <c r="H39" s="86"/>
      <c r="I39" s="21"/>
      <c r="J39" s="21"/>
    </row>
    <row r="40" spans="1:10">
      <c r="A40" s="35" t="s">
        <v>183</v>
      </c>
      <c r="C40" s="86">
        <v>8491</v>
      </c>
      <c r="D40" s="86">
        <v>7038</v>
      </c>
      <c r="E40" s="86">
        <v>8554</v>
      </c>
      <c r="F40" s="86">
        <v>10667</v>
      </c>
      <c r="G40" s="86">
        <v>9840</v>
      </c>
      <c r="H40" s="86">
        <v>10621</v>
      </c>
      <c r="I40" s="21"/>
      <c r="J40" s="21"/>
    </row>
    <row r="41" spans="1:10">
      <c r="A41" s="269" t="s">
        <v>184</v>
      </c>
      <c r="C41" s="100">
        <f t="shared" ref="C41:G41" si="3">C38+C40</f>
        <v>131756</v>
      </c>
      <c r="D41" s="100">
        <f t="shared" si="3"/>
        <v>115851</v>
      </c>
      <c r="E41" s="100">
        <f t="shared" si="3"/>
        <v>117680</v>
      </c>
      <c r="F41" s="100">
        <f t="shared" si="3"/>
        <v>146421</v>
      </c>
      <c r="G41" s="100">
        <f t="shared" si="3"/>
        <v>162544</v>
      </c>
      <c r="H41" s="100">
        <f>H38+H40</f>
        <v>174658</v>
      </c>
      <c r="I41" s="21"/>
      <c r="J41" s="21"/>
    </row>
    <row r="42" spans="1:10">
      <c r="A42" s="98"/>
      <c r="C42" s="86"/>
      <c r="D42" s="86"/>
      <c r="E42" s="86"/>
      <c r="G42" s="86"/>
      <c r="H42" s="86"/>
      <c r="I42" s="21"/>
      <c r="J42" s="21"/>
    </row>
    <row r="43" spans="1:10">
      <c r="A43" s="268" t="s">
        <v>185</v>
      </c>
      <c r="C43" s="1">
        <f t="shared" ref="C43:H43" si="4">C33-C41</f>
        <v>5481</v>
      </c>
      <c r="D43" s="1">
        <f t="shared" si="4"/>
        <v>6634</v>
      </c>
      <c r="E43" s="1">
        <f t="shared" si="4"/>
        <v>9324</v>
      </c>
      <c r="F43" s="1">
        <f t="shared" si="4"/>
        <v>10314</v>
      </c>
      <c r="G43" s="1">
        <f t="shared" si="4"/>
        <v>9298</v>
      </c>
      <c r="H43" s="1">
        <f t="shared" si="4"/>
        <v>12784</v>
      </c>
      <c r="I43" s="21"/>
      <c r="J43" s="21"/>
    </row>
    <row r="44" spans="1:10">
      <c r="A44" s="268"/>
      <c r="C44" s="86"/>
      <c r="D44" s="86"/>
      <c r="E44" s="86"/>
      <c r="F44" s="1"/>
      <c r="G44" s="86"/>
      <c r="H44" s="86"/>
      <c r="I44" s="21"/>
      <c r="J44" s="21"/>
    </row>
    <row r="45" spans="1:10">
      <c r="A45" s="35" t="s">
        <v>186</v>
      </c>
      <c r="C45" s="86">
        <v>782</v>
      </c>
      <c r="D45" s="86">
        <v>1098</v>
      </c>
      <c r="E45" s="86">
        <v>950</v>
      </c>
      <c r="F45" s="96">
        <v>987</v>
      </c>
      <c r="G45" s="86">
        <v>911</v>
      </c>
      <c r="H45" s="86">
        <v>846</v>
      </c>
      <c r="I45" s="21"/>
      <c r="J45" s="21"/>
    </row>
    <row r="46" spans="1:10" s="1" customFormat="1">
      <c r="A46" s="35" t="s">
        <v>187</v>
      </c>
      <c r="C46" s="86">
        <v>1469</v>
      </c>
      <c r="D46" s="99">
        <v>1885</v>
      </c>
      <c r="E46" s="99">
        <v>3041</v>
      </c>
      <c r="F46" s="96">
        <v>1432</v>
      </c>
      <c r="G46" s="99">
        <v>1537</v>
      </c>
      <c r="H46" s="1">
        <v>1257</v>
      </c>
      <c r="I46" s="22"/>
      <c r="J46" s="22"/>
    </row>
    <row r="47" spans="1:10">
      <c r="A47" s="35" t="s">
        <v>188</v>
      </c>
      <c r="C47" s="86">
        <v>1268</v>
      </c>
      <c r="D47" s="86">
        <v>674</v>
      </c>
      <c r="E47" s="86">
        <v>1301</v>
      </c>
      <c r="F47" s="96">
        <v>837</v>
      </c>
      <c r="G47" s="86">
        <v>480</v>
      </c>
      <c r="H47" s="86">
        <v>-4675</v>
      </c>
      <c r="I47" s="21"/>
      <c r="J47" s="21"/>
    </row>
    <row r="48" spans="1:10" s="1" customFormat="1">
      <c r="A48" s="35" t="s">
        <v>189</v>
      </c>
      <c r="C48" s="1">
        <f t="shared" ref="C48:H48" si="5">C43-C45+C46+C47</f>
        <v>7436</v>
      </c>
      <c r="D48" s="1">
        <f t="shared" si="5"/>
        <v>8095</v>
      </c>
      <c r="E48" s="1">
        <f t="shared" si="5"/>
        <v>12716</v>
      </c>
      <c r="F48" s="1">
        <f t="shared" si="5"/>
        <v>11596</v>
      </c>
      <c r="G48" s="1">
        <f t="shared" si="5"/>
        <v>10404</v>
      </c>
      <c r="H48" s="1">
        <f t="shared" si="5"/>
        <v>8520</v>
      </c>
      <c r="I48" s="22"/>
      <c r="J48" s="22"/>
    </row>
    <row r="49" spans="1:20" s="1" customFormat="1">
      <c r="A49" s="98"/>
      <c r="I49" s="22"/>
      <c r="J49" s="22"/>
    </row>
    <row r="50" spans="1:20">
      <c r="A50" s="35" t="s">
        <v>190</v>
      </c>
      <c r="C50" s="86">
        <v>769</v>
      </c>
      <c r="D50" s="86">
        <v>1774</v>
      </c>
      <c r="E50" s="86">
        <v>2771</v>
      </c>
      <c r="F50" s="96">
        <v>1888</v>
      </c>
      <c r="G50" s="86">
        <v>563</v>
      </c>
      <c r="H50" s="86">
        <v>2556</v>
      </c>
      <c r="I50" s="21"/>
      <c r="J50" s="21"/>
    </row>
    <row r="51" spans="1:20" s="1" customFormat="1">
      <c r="A51" s="269" t="s">
        <v>191</v>
      </c>
      <c r="C51" s="1">
        <f t="shared" ref="C51:H51" si="6">C48-C50</f>
        <v>6667</v>
      </c>
      <c r="D51" s="1">
        <f t="shared" si="6"/>
        <v>6321</v>
      </c>
      <c r="E51" s="1">
        <f t="shared" si="6"/>
        <v>9945</v>
      </c>
      <c r="F51" s="1">
        <f t="shared" si="6"/>
        <v>9708</v>
      </c>
      <c r="G51" s="1">
        <f t="shared" si="6"/>
        <v>9841</v>
      </c>
      <c r="H51" s="1">
        <f t="shared" si="6"/>
        <v>5964</v>
      </c>
      <c r="I51" s="22"/>
      <c r="J51" s="22"/>
    </row>
    <row r="52" spans="1:20" s="1" customFormat="1">
      <c r="A52" s="268"/>
      <c r="I52" s="22"/>
      <c r="J52" s="22"/>
    </row>
    <row r="53" spans="1:20" s="1" customFormat="1">
      <c r="A53" s="98" t="s">
        <v>192</v>
      </c>
      <c r="C53" s="86">
        <v>65</v>
      </c>
      <c r="D53" s="1">
        <v>106</v>
      </c>
      <c r="E53" s="1">
        <v>74</v>
      </c>
      <c r="F53" s="96">
        <v>226</v>
      </c>
      <c r="G53" s="1">
        <v>287</v>
      </c>
      <c r="H53" s="1">
        <v>45</v>
      </c>
      <c r="I53" s="22"/>
      <c r="J53" s="22"/>
    </row>
    <row r="54" spans="1:20" s="100" customFormat="1">
      <c r="A54" s="270" t="s">
        <v>193</v>
      </c>
      <c r="C54" s="100">
        <f t="shared" ref="C54:H54" si="7">C51+C53</f>
        <v>6732</v>
      </c>
      <c r="D54" s="100">
        <f t="shared" si="7"/>
        <v>6427</v>
      </c>
      <c r="E54" s="100">
        <f t="shared" si="7"/>
        <v>10019</v>
      </c>
      <c r="F54" s="100">
        <f t="shared" si="7"/>
        <v>9934</v>
      </c>
      <c r="G54" s="100">
        <f t="shared" si="7"/>
        <v>10128</v>
      </c>
      <c r="H54" s="100">
        <f t="shared" si="7"/>
        <v>6009</v>
      </c>
      <c r="I54" s="101"/>
      <c r="J54" s="101"/>
    </row>
    <row r="55" spans="1:20" s="1" customFormat="1">
      <c r="A55" s="268" t="s">
        <v>194</v>
      </c>
      <c r="C55" s="96">
        <f t="shared" ref="C55:H55" si="8">C51-C53</f>
        <v>6602</v>
      </c>
      <c r="D55" s="96">
        <f t="shared" si="8"/>
        <v>6215</v>
      </c>
      <c r="E55" s="96">
        <f t="shared" si="8"/>
        <v>9871</v>
      </c>
      <c r="F55" s="96">
        <f t="shared" si="8"/>
        <v>9482</v>
      </c>
      <c r="G55" s="96">
        <f t="shared" si="8"/>
        <v>9554</v>
      </c>
      <c r="H55" s="96">
        <f t="shared" si="8"/>
        <v>5919</v>
      </c>
      <c r="I55" s="22"/>
      <c r="J55" s="22"/>
    </row>
    <row r="56" spans="1:20" s="1" customFormat="1">
      <c r="A56" s="98"/>
      <c r="I56" s="22"/>
      <c r="J56" s="22"/>
    </row>
    <row r="57" spans="1:20" s="1" customFormat="1">
      <c r="A57" s="309" t="s">
        <v>273</v>
      </c>
      <c r="C57" s="1">
        <v>1424</v>
      </c>
      <c r="D57" s="1">
        <v>1433</v>
      </c>
      <c r="E57" s="1">
        <v>1451</v>
      </c>
      <c r="F57" s="1">
        <v>1445</v>
      </c>
      <c r="G57" s="1">
        <v>1364</v>
      </c>
      <c r="H57" s="1">
        <v>1115</v>
      </c>
      <c r="I57" s="22"/>
      <c r="J57" s="22"/>
    </row>
    <row r="58" spans="1:20" s="1" customFormat="1">
      <c r="A58" s="309" t="s">
        <v>274</v>
      </c>
      <c r="C58" s="1">
        <v>1439</v>
      </c>
      <c r="D58" s="1">
        <v>1442</v>
      </c>
      <c r="E58" s="1">
        <v>1468</v>
      </c>
      <c r="F58" s="1">
        <v>1454</v>
      </c>
      <c r="G58" s="1">
        <v>1369</v>
      </c>
      <c r="H58" s="1">
        <v>1129</v>
      </c>
      <c r="I58" s="22"/>
      <c r="J58" s="22"/>
    </row>
    <row r="59" spans="1:20">
      <c r="H59" s="86"/>
      <c r="J59" s="21"/>
    </row>
    <row r="60" spans="1:20">
      <c r="A60" s="90" t="s">
        <v>37</v>
      </c>
      <c r="C60" s="86"/>
      <c r="D60" s="86" t="s">
        <v>196</v>
      </c>
      <c r="E60" s="787" t="s">
        <v>195</v>
      </c>
      <c r="F60" s="787"/>
      <c r="G60" s="787"/>
      <c r="H60" s="86"/>
      <c r="J60" s="21"/>
    </row>
    <row r="61" spans="1:20">
      <c r="C61" s="69"/>
      <c r="D61" s="69"/>
      <c r="E61" s="69"/>
      <c r="F61" s="70"/>
      <c r="G61" s="69"/>
      <c r="H61" s="70"/>
      <c r="I61" s="21"/>
      <c r="J61" s="21"/>
    </row>
    <row r="62" spans="1:20">
      <c r="I62" s="21"/>
      <c r="J62" s="21"/>
      <c r="L62" s="261"/>
      <c r="Q62" s="261"/>
      <c r="T62" s="261"/>
    </row>
    <row r="63" spans="1:20">
      <c r="A63" s="1" t="s">
        <v>111</v>
      </c>
      <c r="D63" s="261" t="s">
        <v>267</v>
      </c>
      <c r="I63" s="21"/>
      <c r="J63" s="21"/>
      <c r="M63" s="262"/>
      <c r="N63" s="263"/>
      <c r="O63" s="264"/>
      <c r="Q63" s="262"/>
      <c r="R63" s="261"/>
      <c r="T63" s="262"/>
    </row>
    <row r="64" spans="1:20" hidden="1">
      <c r="A64" s="47" t="s">
        <v>44</v>
      </c>
      <c r="B64" s="47"/>
      <c r="C64" s="86"/>
      <c r="D64" s="86"/>
      <c r="E64" s="86"/>
      <c r="F64" s="86"/>
      <c r="G64" s="138"/>
      <c r="H64" s="86"/>
      <c r="I64" s="21"/>
      <c r="J64" s="21"/>
      <c r="M64" s="262"/>
      <c r="N64" s="263"/>
      <c r="O64" s="264"/>
      <c r="Q64" s="262"/>
      <c r="R64" s="261"/>
      <c r="T64" s="262"/>
    </row>
    <row r="65" spans="1:20" hidden="1">
      <c r="A65" s="47" t="s">
        <v>45</v>
      </c>
      <c r="B65" s="47"/>
      <c r="C65" s="86"/>
      <c r="D65" s="86"/>
      <c r="E65" s="86"/>
      <c r="F65" s="86"/>
      <c r="G65" s="86"/>
      <c r="H65" s="261"/>
      <c r="I65" s="21"/>
      <c r="J65" s="21"/>
      <c r="M65" s="262"/>
      <c r="N65" s="263"/>
      <c r="O65" s="264"/>
      <c r="Q65" s="262"/>
      <c r="T65" s="262"/>
    </row>
    <row r="66" spans="1:20" hidden="1">
      <c r="A66" s="47" t="s">
        <v>46</v>
      </c>
      <c r="B66" s="47"/>
      <c r="C66" s="86"/>
      <c r="D66" s="86"/>
      <c r="E66" s="86"/>
      <c r="F66" s="86"/>
      <c r="G66" s="86"/>
      <c r="H66" s="86"/>
      <c r="I66" s="21"/>
      <c r="J66" s="21"/>
      <c r="M66" s="262"/>
      <c r="N66" s="263"/>
      <c r="O66" s="264"/>
      <c r="Q66" s="262"/>
      <c r="T66" s="262"/>
    </row>
    <row r="67" spans="1:20" hidden="1">
      <c r="A67" s="47" t="s">
        <v>47</v>
      </c>
      <c r="B67" s="47"/>
      <c r="C67" s="86"/>
      <c r="D67" s="86"/>
      <c r="E67" s="86"/>
      <c r="F67" s="86"/>
      <c r="G67" s="86"/>
      <c r="H67" s="86"/>
      <c r="I67" s="21"/>
      <c r="J67" s="21"/>
      <c r="M67" s="262"/>
      <c r="N67" s="263"/>
      <c r="O67" s="264"/>
      <c r="Q67" s="262"/>
      <c r="T67" s="262"/>
    </row>
    <row r="68" spans="1:20" hidden="1">
      <c r="A68" s="47" t="s">
        <v>71</v>
      </c>
      <c r="B68" s="47"/>
      <c r="C68" s="86"/>
      <c r="D68" s="86"/>
      <c r="E68" s="86"/>
      <c r="F68" s="86"/>
      <c r="G68" s="86"/>
      <c r="H68" s="86"/>
      <c r="I68" s="21"/>
      <c r="J68" s="21"/>
      <c r="M68" s="262"/>
      <c r="N68" s="263"/>
      <c r="O68" s="264"/>
      <c r="Q68" s="262"/>
      <c r="T68" s="262"/>
    </row>
    <row r="69" spans="1:20" hidden="1">
      <c r="A69" s="47" t="s">
        <v>48</v>
      </c>
      <c r="B69" s="47"/>
      <c r="C69" s="86"/>
      <c r="D69" s="86"/>
      <c r="E69" s="86"/>
      <c r="F69" s="86"/>
      <c r="G69" s="86"/>
      <c r="H69" s="86"/>
      <c r="I69" s="21"/>
      <c r="J69" s="21" t="s">
        <v>270</v>
      </c>
      <c r="N69" s="263"/>
      <c r="O69" s="56"/>
    </row>
    <row r="70" spans="1:20" hidden="1">
      <c r="A70" s="47" t="s">
        <v>49</v>
      </c>
      <c r="B70" s="47"/>
      <c r="C70" s="86"/>
      <c r="D70" s="86"/>
      <c r="E70" s="86"/>
      <c r="F70" s="86"/>
      <c r="G70" s="86"/>
      <c r="H70" s="86"/>
      <c r="I70" s="21"/>
      <c r="J70" s="21"/>
    </row>
    <row r="71" spans="1:20" hidden="1">
      <c r="A71" s="47" t="s">
        <v>50</v>
      </c>
      <c r="B71" s="47"/>
      <c r="C71" s="86"/>
      <c r="D71" s="86"/>
      <c r="E71" s="86"/>
      <c r="F71" s="86"/>
      <c r="G71" s="86"/>
      <c r="H71" s="86"/>
      <c r="I71" s="21"/>
      <c r="J71" s="21"/>
      <c r="Q71" s="309"/>
    </row>
    <row r="72" spans="1:20" hidden="1">
      <c r="A72" s="47" t="s">
        <v>51</v>
      </c>
      <c r="B72" s="47"/>
      <c r="C72" s="86"/>
      <c r="D72" s="86"/>
      <c r="E72" s="86"/>
      <c r="F72" s="86"/>
      <c r="G72" s="86"/>
      <c r="H72" s="21"/>
      <c r="I72" s="21"/>
      <c r="J72" s="21"/>
      <c r="Q72" s="262"/>
    </row>
    <row r="73" spans="1:20" hidden="1">
      <c r="A73" s="47" t="s">
        <v>65</v>
      </c>
      <c r="B73" s="47"/>
      <c r="C73" s="86"/>
      <c r="D73" s="86"/>
      <c r="E73" s="86"/>
      <c r="F73" s="86"/>
      <c r="G73" s="86"/>
      <c r="H73" s="86"/>
      <c r="I73" s="21"/>
      <c r="J73" s="21"/>
      <c r="Q73" s="262"/>
    </row>
    <row r="74" spans="1:20" s="1" customFormat="1" hidden="1">
      <c r="I74" s="22"/>
      <c r="J74" s="22"/>
      <c r="N74" s="265"/>
      <c r="Q74" s="262"/>
    </row>
    <row r="75" spans="1:20">
      <c r="A75" s="267" t="s">
        <v>269</v>
      </c>
      <c r="I75" s="21"/>
      <c r="J75" s="21"/>
      <c r="Q75" s="262"/>
    </row>
    <row r="76" spans="1:20" s="55" customFormat="1">
      <c r="A76" s="90" t="s">
        <v>37</v>
      </c>
      <c r="C76" s="261">
        <v>8393</v>
      </c>
      <c r="D76" s="261">
        <v>9710</v>
      </c>
      <c r="E76">
        <v>14295</v>
      </c>
      <c r="F76">
        <v>14474</v>
      </c>
      <c r="G76">
        <v>12357</v>
      </c>
      <c r="H76">
        <v>14934</v>
      </c>
      <c r="I76" s="78"/>
      <c r="J76" s="78"/>
      <c r="Q76" s="262"/>
    </row>
    <row r="77" spans="1:20" s="55" customFormat="1">
      <c r="A77" s="54"/>
      <c r="C77" s="69"/>
      <c r="D77" s="69"/>
      <c r="E77" s="69"/>
      <c r="F77" s="70"/>
      <c r="G77" s="69"/>
      <c r="H77" s="70"/>
      <c r="I77" s="78"/>
      <c r="J77" s="78"/>
      <c r="Q77" s="262"/>
    </row>
    <row r="78" spans="1:20">
      <c r="A78" s="81" t="s">
        <v>112</v>
      </c>
      <c r="I78" s="21"/>
      <c r="J78" s="21"/>
    </row>
    <row r="79" spans="1:20">
      <c r="A79" s="47" t="s">
        <v>56</v>
      </c>
      <c r="C79" s="86">
        <v>14060</v>
      </c>
      <c r="D79" s="86">
        <v>12676</v>
      </c>
      <c r="E79" s="86">
        <v>12047</v>
      </c>
      <c r="F79" s="267">
        <v>11276</v>
      </c>
      <c r="G79" s="86">
        <v>11737</v>
      </c>
      <c r="H79" s="86">
        <v>11456</v>
      </c>
      <c r="I79" s="21"/>
      <c r="J79" s="767"/>
    </row>
    <row r="80" spans="1:20">
      <c r="A80" s="47" t="s">
        <v>60</v>
      </c>
      <c r="C80" s="86">
        <v>46</v>
      </c>
      <c r="D80" s="86">
        <v>25</v>
      </c>
      <c r="E80" s="86">
        <v>21</v>
      </c>
      <c r="F80" s="86">
        <v>21</v>
      </c>
      <c r="G80" s="86">
        <v>21</v>
      </c>
      <c r="H80" s="86">
        <v>80</v>
      </c>
      <c r="I80" s="267"/>
      <c r="L80" s="267"/>
      <c r="M80" s="267"/>
    </row>
    <row r="81" spans="1:32">
      <c r="A81" s="47" t="s">
        <v>57</v>
      </c>
      <c r="C81" s="86">
        <v>202</v>
      </c>
      <c r="D81" s="86">
        <v>144</v>
      </c>
      <c r="E81" s="86">
        <v>141</v>
      </c>
      <c r="F81" s="86">
        <v>139</v>
      </c>
      <c r="G81" s="86">
        <v>114</v>
      </c>
      <c r="H81" s="57">
        <v>146</v>
      </c>
      <c r="I81" s="634"/>
      <c r="J81" s="57"/>
      <c r="K81" s="267"/>
    </row>
    <row r="82" spans="1:32">
      <c r="A82" s="47" t="s">
        <v>58</v>
      </c>
      <c r="C82">
        <f>C80-C81</f>
        <v>-156</v>
      </c>
      <c r="D82">
        <f t="shared" ref="D82:H82" si="9">D80-D81</f>
        <v>-119</v>
      </c>
      <c r="E82">
        <f t="shared" si="9"/>
        <v>-120</v>
      </c>
      <c r="F82">
        <f t="shared" si="9"/>
        <v>-118</v>
      </c>
      <c r="G82">
        <f t="shared" si="9"/>
        <v>-93</v>
      </c>
      <c r="H82">
        <f t="shared" si="9"/>
        <v>-66</v>
      </c>
      <c r="I82" s="47"/>
      <c r="J82" s="57"/>
    </row>
    <row r="83" spans="1:32">
      <c r="A83" s="47" t="s">
        <v>59</v>
      </c>
      <c r="C83">
        <f>C79-C81-C82</f>
        <v>14014</v>
      </c>
      <c r="D83">
        <f t="shared" ref="D83:H83" si="10">D79-D81-D82</f>
        <v>12651</v>
      </c>
      <c r="E83">
        <f t="shared" si="10"/>
        <v>12026</v>
      </c>
      <c r="F83">
        <f t="shared" si="10"/>
        <v>11255</v>
      </c>
      <c r="G83">
        <f t="shared" si="10"/>
        <v>11716</v>
      </c>
      <c r="H83">
        <f t="shared" si="10"/>
        <v>11376</v>
      </c>
      <c r="I83" s="47"/>
      <c r="J83" s="57"/>
    </row>
    <row r="84" spans="1:32">
      <c r="A84" s="47" t="s">
        <v>61</v>
      </c>
      <c r="C84" s="25">
        <f>C81/C79</f>
        <v>1.4366998577524893E-2</v>
      </c>
      <c r="D84" s="25">
        <f t="shared" ref="D84:H84" si="11">D81/D79</f>
        <v>1.1360050489113285E-2</v>
      </c>
      <c r="E84" s="25">
        <f t="shared" si="11"/>
        <v>1.1704158711712459E-2</v>
      </c>
      <c r="F84" s="25">
        <f t="shared" si="11"/>
        <v>1.2327066335579994E-2</v>
      </c>
      <c r="G84" s="25">
        <f t="shared" si="11"/>
        <v>9.7128738178410157E-3</v>
      </c>
      <c r="H84" s="25">
        <f t="shared" si="11"/>
        <v>1.2744413407821229E-2</v>
      </c>
    </row>
    <row r="85" spans="1:32">
      <c r="A85" s="47" t="s">
        <v>62</v>
      </c>
      <c r="C85" s="25">
        <f>C82/C79</f>
        <v>-1.1095305832147937E-2</v>
      </c>
      <c r="D85" s="25">
        <f t="shared" ref="D85:H85" si="12">D82/D79</f>
        <v>-9.3878195014200066E-3</v>
      </c>
      <c r="E85" s="25">
        <f t="shared" si="12"/>
        <v>-9.9609861376276244E-3</v>
      </c>
      <c r="F85" s="25">
        <f t="shared" si="12"/>
        <v>-1.0464703795672225E-2</v>
      </c>
      <c r="G85" s="25">
        <f t="shared" si="12"/>
        <v>-7.92366021981767E-3</v>
      </c>
      <c r="H85" s="25">
        <f t="shared" si="12"/>
        <v>-5.7611731843575419E-3</v>
      </c>
    </row>
    <row r="86" spans="1:32">
      <c r="A86" s="47" t="s">
        <v>63</v>
      </c>
      <c r="C86" s="25">
        <f>C83/C79</f>
        <v>0.99672830725462302</v>
      </c>
      <c r="D86" s="25">
        <f t="shared" ref="D86:H86" si="13">D83/D79</f>
        <v>0.99802776901230672</v>
      </c>
      <c r="E86" s="25">
        <f t="shared" si="13"/>
        <v>0.99825682742591515</v>
      </c>
      <c r="F86" s="25">
        <f t="shared" si="13"/>
        <v>0.99813763746009221</v>
      </c>
      <c r="G86" s="25">
        <f t="shared" si="13"/>
        <v>0.99821078640197669</v>
      </c>
      <c r="H86" s="25">
        <f t="shared" si="13"/>
        <v>0.99301675977653636</v>
      </c>
    </row>
    <row r="87" spans="1:32">
      <c r="A87" s="47" t="s">
        <v>55</v>
      </c>
      <c r="C87" s="86">
        <v>456</v>
      </c>
      <c r="D87" s="86">
        <v>351</v>
      </c>
      <c r="E87" s="86">
        <v>391</v>
      </c>
      <c r="F87" s="86">
        <v>419</v>
      </c>
      <c r="G87" s="86">
        <v>340</v>
      </c>
      <c r="H87" s="86">
        <v>332</v>
      </c>
      <c r="I87" s="309"/>
      <c r="J87" s="21"/>
    </row>
    <row r="88" spans="1:32">
      <c r="A88" s="47" t="s">
        <v>77</v>
      </c>
      <c r="C88" s="86">
        <v>2350</v>
      </c>
      <c r="D88" s="86">
        <v>669</v>
      </c>
      <c r="E88" s="86">
        <v>186</v>
      </c>
      <c r="F88" s="86">
        <v>397</v>
      </c>
      <c r="G88" s="86">
        <v>477</v>
      </c>
      <c r="H88" s="86">
        <v>530</v>
      </c>
      <c r="I88" s="267"/>
      <c r="J88" s="21"/>
    </row>
    <row r="89" spans="1:32">
      <c r="A89" s="47"/>
      <c r="J89" s="21"/>
    </row>
    <row r="90" spans="1:32">
      <c r="C90" s="69"/>
      <c r="D90" s="69"/>
      <c r="E90" s="69"/>
      <c r="F90" s="70"/>
      <c r="G90" s="69"/>
      <c r="H90" s="70"/>
      <c r="I90" s="60"/>
    </row>
    <row r="91" spans="1:32">
      <c r="A91" s="81" t="s">
        <v>78</v>
      </c>
    </row>
    <row r="92" spans="1:32">
      <c r="A92" s="81" t="s">
        <v>176</v>
      </c>
    </row>
    <row r="93" spans="1:32">
      <c r="A93" s="81"/>
    </row>
    <row r="94" spans="1:32">
      <c r="A94" s="1" t="s">
        <v>38</v>
      </c>
    </row>
    <row r="95" spans="1:32">
      <c r="A95" t="s">
        <v>132</v>
      </c>
      <c r="C95" s="86">
        <v>19069</v>
      </c>
      <c r="D95" s="86">
        <v>19992</v>
      </c>
      <c r="E95" s="86">
        <v>20067</v>
      </c>
      <c r="F95" s="86">
        <v>19153</v>
      </c>
      <c r="G95" s="86">
        <v>18853</v>
      </c>
      <c r="H95" s="86">
        <v>19872</v>
      </c>
      <c r="J95" s="21"/>
      <c r="AE95" t="s">
        <v>122</v>
      </c>
      <c r="AF95" t="s">
        <v>133</v>
      </c>
    </row>
    <row r="96" spans="1:32">
      <c r="A96" t="s">
        <v>123</v>
      </c>
      <c r="C96" s="86">
        <v>4174</v>
      </c>
      <c r="D96" s="86">
        <v>9046</v>
      </c>
      <c r="E96" s="86">
        <v>8609</v>
      </c>
      <c r="F96" s="86">
        <v>12150</v>
      </c>
      <c r="G96" s="86">
        <v>7613</v>
      </c>
      <c r="H96" s="86">
        <v>7265</v>
      </c>
      <c r="J96" s="21"/>
      <c r="AE96" t="s">
        <v>134</v>
      </c>
    </row>
    <row r="97" spans="1:31" s="1" customFormat="1">
      <c r="A97" t="s">
        <v>135</v>
      </c>
      <c r="C97" s="86">
        <v>6797</v>
      </c>
      <c r="D97" s="86">
        <v>8035</v>
      </c>
      <c r="E97" s="86">
        <v>7394</v>
      </c>
      <c r="F97" s="86">
        <v>13333</v>
      </c>
      <c r="G97" s="86">
        <v>12378</v>
      </c>
      <c r="H97" s="86">
        <v>12827</v>
      </c>
      <c r="J97" s="22"/>
    </row>
    <row r="98" spans="1:31">
      <c r="A98" t="s">
        <v>137</v>
      </c>
      <c r="C98" s="86">
        <v>26601</v>
      </c>
      <c r="D98" s="86">
        <v>26209</v>
      </c>
      <c r="E98" s="86">
        <v>26649</v>
      </c>
      <c r="F98" s="86">
        <v>33623</v>
      </c>
      <c r="G98" s="86">
        <v>39076</v>
      </c>
      <c r="H98" s="86">
        <v>46362</v>
      </c>
      <c r="I98" s="94"/>
      <c r="J98" s="21"/>
      <c r="AE98" t="s">
        <v>136</v>
      </c>
    </row>
    <row r="99" spans="1:31">
      <c r="A99" t="s">
        <v>124</v>
      </c>
      <c r="C99" s="86">
        <v>10398</v>
      </c>
      <c r="D99" s="86">
        <v>10235</v>
      </c>
      <c r="E99" s="86">
        <v>12988</v>
      </c>
      <c r="F99" s="86">
        <v>15366</v>
      </c>
      <c r="G99" s="86">
        <v>16461</v>
      </c>
      <c r="H99" s="86">
        <v>14564</v>
      </c>
      <c r="I99" s="94"/>
      <c r="J99" s="21"/>
      <c r="AE99" t="s">
        <v>138</v>
      </c>
    </row>
    <row r="100" spans="1:31">
      <c r="A100" t="s">
        <v>140</v>
      </c>
      <c r="C100" s="86">
        <v>7953</v>
      </c>
      <c r="D100" s="86">
        <v>7407</v>
      </c>
      <c r="E100" s="86">
        <v>6396</v>
      </c>
      <c r="F100" s="86">
        <v>6825</v>
      </c>
      <c r="G100" s="86">
        <v>7238</v>
      </c>
      <c r="H100" s="86">
        <v>7655</v>
      </c>
      <c r="I100" s="94"/>
      <c r="J100" s="21"/>
      <c r="AE100" t="s">
        <v>139</v>
      </c>
    </row>
    <row r="101" spans="1:31">
      <c r="A101" s="1" t="s">
        <v>125</v>
      </c>
      <c r="C101" s="100">
        <f t="shared" ref="C101:H101" si="14">SUM(C95:C100)</f>
        <v>74992</v>
      </c>
      <c r="D101" s="100">
        <f t="shared" si="14"/>
        <v>80924</v>
      </c>
      <c r="E101" s="100">
        <f t="shared" si="14"/>
        <v>82103</v>
      </c>
      <c r="F101" s="100">
        <f t="shared" si="14"/>
        <v>100450</v>
      </c>
      <c r="G101" s="100">
        <f t="shared" si="14"/>
        <v>101619</v>
      </c>
      <c r="H101" s="100">
        <f t="shared" si="14"/>
        <v>108545</v>
      </c>
      <c r="J101" s="21"/>
      <c r="AE101" t="s">
        <v>141</v>
      </c>
    </row>
    <row r="102" spans="1:31">
      <c r="C102" s="1"/>
      <c r="D102" s="1"/>
      <c r="J102" s="21"/>
      <c r="L102" s="93"/>
      <c r="P102" s="93"/>
    </row>
    <row r="103" spans="1:31">
      <c r="A103" s="1" t="s">
        <v>126</v>
      </c>
      <c r="C103" s="86"/>
      <c r="D103" s="86"/>
      <c r="J103" s="21"/>
      <c r="K103" s="93"/>
      <c r="N103" s="93"/>
      <c r="AE103" t="s">
        <v>142</v>
      </c>
    </row>
    <row r="104" spans="1:31">
      <c r="A104" t="s">
        <v>143</v>
      </c>
      <c r="C104" s="86">
        <v>26355</v>
      </c>
      <c r="D104" s="86">
        <v>31783</v>
      </c>
      <c r="E104" s="86">
        <v>36167</v>
      </c>
      <c r="F104" s="86">
        <v>40591</v>
      </c>
      <c r="G104" s="86">
        <v>45043</v>
      </c>
      <c r="H104" s="86">
        <v>46474</v>
      </c>
      <c r="J104" s="21"/>
    </row>
    <row r="105" spans="1:31">
      <c r="A105" t="s">
        <v>127</v>
      </c>
      <c r="C105" s="86">
        <v>8562</v>
      </c>
      <c r="D105" s="86">
        <v>8406</v>
      </c>
      <c r="E105" s="86">
        <v>9677</v>
      </c>
      <c r="F105" s="86">
        <v>10176</v>
      </c>
      <c r="G105" s="86">
        <v>10613</v>
      </c>
      <c r="H105" s="86">
        <v>7102</v>
      </c>
      <c r="J105" s="95"/>
      <c r="M105" s="93"/>
    </row>
    <row r="106" spans="1:31">
      <c r="A106" t="s">
        <v>128</v>
      </c>
      <c r="C106" s="86">
        <v>38750</v>
      </c>
      <c r="D106" s="86">
        <v>37632</v>
      </c>
      <c r="E106" s="86">
        <v>41115</v>
      </c>
      <c r="F106" s="86">
        <v>45248</v>
      </c>
      <c r="G106" s="86">
        <v>50321</v>
      </c>
      <c r="H106" s="86">
        <v>51904</v>
      </c>
      <c r="J106" s="21"/>
      <c r="AE106" t="s">
        <v>144</v>
      </c>
    </row>
    <row r="107" spans="1:31">
      <c r="A107" t="s">
        <v>129</v>
      </c>
      <c r="C107" s="86">
        <v>5337</v>
      </c>
      <c r="D107" s="86">
        <v>5230</v>
      </c>
      <c r="E107" s="86">
        <v>5087</v>
      </c>
      <c r="F107" s="86">
        <v>4945</v>
      </c>
      <c r="G107" s="86">
        <v>4862</v>
      </c>
      <c r="H107" s="86">
        <v>4551</v>
      </c>
      <c r="J107" s="95"/>
      <c r="M107" s="93"/>
      <c r="AE107" t="s">
        <v>145</v>
      </c>
    </row>
    <row r="108" spans="1:31">
      <c r="A108" t="s">
        <v>148</v>
      </c>
      <c r="C108" s="86">
        <v>42055</v>
      </c>
      <c r="D108" s="86">
        <v>39819</v>
      </c>
      <c r="E108" s="86">
        <v>37929</v>
      </c>
      <c r="F108" s="86">
        <v>32701</v>
      </c>
      <c r="G108" s="86">
        <v>30582</v>
      </c>
      <c r="H108" s="86">
        <v>31586</v>
      </c>
      <c r="J108" s="21"/>
      <c r="K108" s="93"/>
      <c r="N108" s="93"/>
      <c r="AE108" t="s">
        <v>146</v>
      </c>
    </row>
    <row r="109" spans="1:31">
      <c r="A109" t="s">
        <v>130</v>
      </c>
      <c r="C109" s="86">
        <v>24640</v>
      </c>
      <c r="D109" s="86">
        <v>24136</v>
      </c>
      <c r="E109" s="86">
        <v>21152</v>
      </c>
      <c r="F109" s="86">
        <v>20539</v>
      </c>
      <c r="G109" s="86">
        <v>22339</v>
      </c>
      <c r="H109" s="86">
        <v>21254</v>
      </c>
      <c r="J109" s="21"/>
      <c r="K109" s="93"/>
      <c r="N109" s="93"/>
      <c r="AE109" t="s">
        <v>147</v>
      </c>
    </row>
    <row r="110" spans="1:31">
      <c r="A110" t="s">
        <v>151</v>
      </c>
      <c r="C110" s="86">
        <v>7346</v>
      </c>
      <c r="D110" s="86">
        <v>7264</v>
      </c>
      <c r="E110" s="86">
        <v>11488</v>
      </c>
      <c r="F110" s="86">
        <v>9386</v>
      </c>
      <c r="G110" s="86">
        <v>7686</v>
      </c>
      <c r="H110" s="86">
        <v>8345</v>
      </c>
      <c r="J110" s="21"/>
      <c r="K110" s="93"/>
      <c r="N110" s="93"/>
    </row>
    <row r="111" spans="1:31">
      <c r="A111" s="1" t="s">
        <v>131</v>
      </c>
      <c r="C111" s="100">
        <f t="shared" ref="C111:H111" si="15">SUM(C104:C110)</f>
        <v>153045</v>
      </c>
      <c r="D111" s="100">
        <f t="shared" si="15"/>
        <v>154270</v>
      </c>
      <c r="E111" s="100">
        <f t="shared" si="15"/>
        <v>162615</v>
      </c>
      <c r="F111" s="100">
        <f t="shared" si="15"/>
        <v>163586</v>
      </c>
      <c r="G111" s="100">
        <f t="shared" si="15"/>
        <v>171446</v>
      </c>
      <c r="H111" s="100">
        <f t="shared" si="15"/>
        <v>171216</v>
      </c>
      <c r="J111" s="21"/>
      <c r="AE111" t="s">
        <v>149</v>
      </c>
    </row>
    <row r="112" spans="1:31" ht="15.75" thickBot="1">
      <c r="A112" s="1"/>
      <c r="C112" s="102"/>
      <c r="D112" s="102"/>
      <c r="E112" s="103"/>
      <c r="F112" s="103"/>
      <c r="G112" s="102"/>
      <c r="H112" s="102"/>
      <c r="J112" s="21"/>
    </row>
    <row r="113" spans="1:32" ht="16.5" thickTop="1" thickBot="1">
      <c r="A113" s="1" t="s">
        <v>39</v>
      </c>
      <c r="C113" s="104">
        <f t="shared" ref="C113:H113" si="16">C111+C101</f>
        <v>228037</v>
      </c>
      <c r="D113" s="104">
        <f t="shared" si="16"/>
        <v>235194</v>
      </c>
      <c r="E113" s="104">
        <f t="shared" si="16"/>
        <v>244718</v>
      </c>
      <c r="F113" s="104">
        <f t="shared" si="16"/>
        <v>264036</v>
      </c>
      <c r="G113" s="104">
        <f t="shared" si="16"/>
        <v>273065</v>
      </c>
      <c r="H113" s="104">
        <f t="shared" si="16"/>
        <v>279761</v>
      </c>
      <c r="J113" s="21"/>
      <c r="AE113" t="s">
        <v>150</v>
      </c>
    </row>
    <row r="114" spans="1:32" ht="15.75" thickTop="1">
      <c r="A114" s="1"/>
      <c r="G114" s="1"/>
      <c r="H114" s="1"/>
      <c r="J114" s="21"/>
    </row>
    <row r="115" spans="1:32">
      <c r="A115" s="1" t="s">
        <v>155</v>
      </c>
      <c r="J115" s="95"/>
      <c r="M115" s="93"/>
      <c r="AE115" t="s">
        <v>152</v>
      </c>
    </row>
    <row r="116" spans="1:32">
      <c r="J116" s="95"/>
      <c r="M116" s="93"/>
    </row>
    <row r="117" spans="1:32">
      <c r="A117" s="1" t="s">
        <v>40</v>
      </c>
      <c r="C117" s="86"/>
      <c r="D117" s="86"/>
      <c r="J117" s="21"/>
      <c r="K117" s="93"/>
      <c r="N117" s="93"/>
    </row>
    <row r="118" spans="1:32">
      <c r="A118" t="s">
        <v>156</v>
      </c>
      <c r="C118" s="86">
        <v>21018</v>
      </c>
      <c r="D118" s="86">
        <v>19928</v>
      </c>
      <c r="E118" s="86">
        <v>20391</v>
      </c>
      <c r="F118" s="86">
        <v>27486</v>
      </c>
      <c r="G118" s="86">
        <v>28114</v>
      </c>
      <c r="H118" s="86">
        <v>25680</v>
      </c>
      <c r="J118" s="21"/>
      <c r="K118" s="93"/>
      <c r="N118" s="93"/>
      <c r="AE118" t="s">
        <v>153</v>
      </c>
    </row>
    <row r="119" spans="1:32">
      <c r="A119" t="s">
        <v>158</v>
      </c>
      <c r="C119" s="86"/>
      <c r="D119" s="86"/>
      <c r="E119" s="86"/>
      <c r="F119" s="86"/>
      <c r="G119" s="86"/>
      <c r="H119" s="86"/>
      <c r="J119" s="21"/>
      <c r="K119" s="93"/>
      <c r="N119" s="93"/>
      <c r="AE119" t="s">
        <v>122</v>
      </c>
      <c r="AF119" t="s">
        <v>154</v>
      </c>
    </row>
    <row r="120" spans="1:32">
      <c r="A120" s="98" t="s">
        <v>159</v>
      </c>
      <c r="C120" s="86">
        <v>1897</v>
      </c>
      <c r="D120" s="86">
        <v>1276</v>
      </c>
      <c r="E120" s="86">
        <v>463</v>
      </c>
      <c r="F120" s="86">
        <v>1959</v>
      </c>
      <c r="G120" s="86">
        <v>428</v>
      </c>
      <c r="H120" s="86">
        <v>2141</v>
      </c>
      <c r="J120" s="21"/>
      <c r="K120" s="93"/>
      <c r="N120" s="93"/>
    </row>
    <row r="121" spans="1:32">
      <c r="A121" s="98" t="s">
        <v>160</v>
      </c>
      <c r="C121" s="86">
        <v>35503</v>
      </c>
      <c r="D121" s="86">
        <v>35637</v>
      </c>
      <c r="E121" s="86">
        <v>33257</v>
      </c>
      <c r="F121" s="86">
        <v>36819</v>
      </c>
      <c r="G121" s="86">
        <v>38540</v>
      </c>
      <c r="H121" s="86">
        <v>37291</v>
      </c>
      <c r="J121" s="21"/>
      <c r="K121" s="93"/>
      <c r="N121" s="93"/>
    </row>
    <row r="122" spans="1:32">
      <c r="A122" s="98" t="s">
        <v>161</v>
      </c>
      <c r="C122" s="86">
        <v>26487</v>
      </c>
      <c r="D122" s="86">
        <v>23069</v>
      </c>
      <c r="E122" s="86">
        <v>20297</v>
      </c>
      <c r="F122" s="86">
        <v>24909</v>
      </c>
      <c r="G122" s="86">
        <v>27363</v>
      </c>
      <c r="H122" s="86">
        <v>31154</v>
      </c>
      <c r="J122" s="21"/>
      <c r="K122" s="93"/>
      <c r="N122" s="93"/>
    </row>
    <row r="123" spans="1:32">
      <c r="A123" s="268" t="s">
        <v>162</v>
      </c>
      <c r="C123" s="100">
        <f t="shared" ref="C123:H123" si="17">SUM(C118:C122)</f>
        <v>84905</v>
      </c>
      <c r="D123" s="100">
        <f t="shared" si="17"/>
        <v>79910</v>
      </c>
      <c r="E123" s="100">
        <f t="shared" si="17"/>
        <v>74408</v>
      </c>
      <c r="F123" s="100">
        <f t="shared" si="17"/>
        <v>91173</v>
      </c>
      <c r="G123" s="100">
        <f t="shared" si="17"/>
        <v>94445</v>
      </c>
      <c r="H123" s="100">
        <f t="shared" si="17"/>
        <v>96266</v>
      </c>
      <c r="J123" s="21"/>
      <c r="AE123" t="s">
        <v>122</v>
      </c>
      <c r="AF123" t="s">
        <v>157</v>
      </c>
    </row>
    <row r="124" spans="1:32">
      <c r="A124" s="13"/>
      <c r="C124" s="86"/>
      <c r="D124" s="86"/>
      <c r="E124" s="86"/>
      <c r="F124" s="86"/>
      <c r="G124" s="86"/>
      <c r="H124" s="86"/>
      <c r="J124" s="21"/>
    </row>
    <row r="125" spans="1:32">
      <c r="A125" s="268" t="s">
        <v>163</v>
      </c>
      <c r="C125" s="86"/>
      <c r="D125" s="86"/>
      <c r="E125" s="86"/>
      <c r="F125" s="86"/>
      <c r="G125" s="86"/>
      <c r="H125" s="86"/>
      <c r="J125" s="21"/>
    </row>
    <row r="126" spans="1:32">
      <c r="A126" s="98" t="s">
        <v>164</v>
      </c>
      <c r="C126" s="86"/>
      <c r="D126" s="86"/>
      <c r="E126" s="86">
        <v>0</v>
      </c>
      <c r="F126" s="86"/>
      <c r="G126" s="96">
        <v>0</v>
      </c>
      <c r="H126" s="96"/>
      <c r="J126" s="21"/>
    </row>
    <row r="127" spans="1:32">
      <c r="A127" s="98" t="s">
        <v>159</v>
      </c>
      <c r="C127" s="86">
        <v>12489</v>
      </c>
      <c r="D127" s="86">
        <v>16193</v>
      </c>
      <c r="E127" s="86">
        <v>16355</v>
      </c>
      <c r="F127" s="86">
        <v>15885</v>
      </c>
      <c r="G127" s="86">
        <v>15985</v>
      </c>
      <c r="H127" s="86">
        <v>13327</v>
      </c>
      <c r="J127" s="21"/>
    </row>
    <row r="128" spans="1:32">
      <c r="A128" s="98" t="s">
        <v>160</v>
      </c>
      <c r="C128" s="86">
        <v>53435</v>
      </c>
      <c r="D128" s="86">
        <v>56788</v>
      </c>
      <c r="E128" s="86">
        <v>59304</v>
      </c>
      <c r="F128" s="86">
        <v>60036</v>
      </c>
      <c r="G128" s="86">
        <v>66788</v>
      </c>
      <c r="H128" s="86">
        <v>76973</v>
      </c>
      <c r="J128" s="21"/>
    </row>
    <row r="129" spans="1:10">
      <c r="A129" s="98" t="s">
        <v>165</v>
      </c>
      <c r="C129" s="86">
        <v>5935</v>
      </c>
      <c r="D129" s="86">
        <v>6277</v>
      </c>
      <c r="E129" s="86">
        <v>5743</v>
      </c>
      <c r="F129" s="86">
        <v>4193</v>
      </c>
      <c r="G129" s="86">
        <v>4345</v>
      </c>
      <c r="H129" s="86">
        <v>3990</v>
      </c>
      <c r="J129" s="21"/>
    </row>
    <row r="130" spans="1:10">
      <c r="A130" s="98" t="s">
        <v>166</v>
      </c>
      <c r="C130" s="86">
        <v>12170</v>
      </c>
      <c r="D130" s="86">
        <v>12902</v>
      </c>
      <c r="E130" s="86">
        <v>8008</v>
      </c>
      <c r="F130" s="86">
        <v>5698</v>
      </c>
      <c r="G130" s="86">
        <v>6680</v>
      </c>
      <c r="H130" s="86">
        <v>5779</v>
      </c>
      <c r="J130" s="21"/>
    </row>
    <row r="131" spans="1:10">
      <c r="A131" s="98" t="s">
        <v>167</v>
      </c>
      <c r="C131" s="86">
        <v>13146</v>
      </c>
      <c r="D131" s="86">
        <v>13447</v>
      </c>
      <c r="E131" s="86">
        <v>15085</v>
      </c>
      <c r="F131" s="86">
        <v>14767</v>
      </c>
      <c r="G131" s="86">
        <v>16515</v>
      </c>
      <c r="H131" s="86">
        <v>17836</v>
      </c>
      <c r="J131" s="21"/>
    </row>
    <row r="132" spans="1:10">
      <c r="A132" s="268" t="s">
        <v>168</v>
      </c>
      <c r="C132" s="100">
        <f t="shared" ref="C132:H132" si="18">SUM(C127:C131)</f>
        <v>97175</v>
      </c>
      <c r="D132" s="100">
        <f t="shared" si="18"/>
        <v>105607</v>
      </c>
      <c r="E132" s="100">
        <f t="shared" si="18"/>
        <v>104495</v>
      </c>
      <c r="F132" s="100">
        <f t="shared" si="18"/>
        <v>100579</v>
      </c>
      <c r="G132" s="100">
        <f t="shared" si="18"/>
        <v>110313</v>
      </c>
      <c r="H132" s="100">
        <f t="shared" si="18"/>
        <v>117905</v>
      </c>
      <c r="J132" s="21"/>
    </row>
    <row r="133" spans="1:10">
      <c r="A133" s="98"/>
      <c r="C133" s="86"/>
      <c r="D133" s="86"/>
      <c r="E133" s="86"/>
      <c r="F133" s="86"/>
      <c r="G133" s="86"/>
      <c r="H133" s="86"/>
      <c r="J133" s="21"/>
    </row>
    <row r="134" spans="1:10">
      <c r="A134" s="268" t="s">
        <v>83</v>
      </c>
      <c r="C134" s="105">
        <f t="shared" ref="C134:H134" si="19">C132+C123</f>
        <v>182080</v>
      </c>
      <c r="D134" s="105">
        <f t="shared" si="19"/>
        <v>185517</v>
      </c>
      <c r="E134" s="105">
        <f t="shared" si="19"/>
        <v>178903</v>
      </c>
      <c r="F134" s="105">
        <f t="shared" si="19"/>
        <v>191752</v>
      </c>
      <c r="G134" s="105">
        <f t="shared" si="19"/>
        <v>204758</v>
      </c>
      <c r="H134" s="105">
        <f t="shared" si="19"/>
        <v>214171</v>
      </c>
      <c r="J134" s="21"/>
    </row>
    <row r="135" spans="1:10">
      <c r="A135" s="268"/>
      <c r="C135" s="86"/>
      <c r="D135" s="86"/>
      <c r="E135" s="86"/>
      <c r="F135" s="86"/>
      <c r="G135" s="97"/>
      <c r="H135" s="97"/>
      <c r="J135" s="21"/>
    </row>
    <row r="136" spans="1:10">
      <c r="A136" s="98" t="s">
        <v>169</v>
      </c>
      <c r="C136" s="86"/>
      <c r="D136" s="86"/>
      <c r="E136" s="86"/>
      <c r="F136" s="86"/>
      <c r="G136" s="86">
        <v>0</v>
      </c>
      <c r="H136" s="86"/>
      <c r="J136" s="21"/>
    </row>
    <row r="137" spans="1:10">
      <c r="A137" s="98" t="s">
        <v>170</v>
      </c>
      <c r="C137" s="86"/>
      <c r="D137" s="86"/>
      <c r="E137" s="99">
        <v>0</v>
      </c>
      <c r="F137" s="86">
        <v>357</v>
      </c>
      <c r="G137" s="86">
        <v>118</v>
      </c>
      <c r="H137" s="86"/>
      <c r="J137" s="21"/>
    </row>
    <row r="138" spans="1:10">
      <c r="A138" s="98"/>
      <c r="C138" s="86"/>
      <c r="D138" s="86"/>
      <c r="E138" s="99"/>
      <c r="F138" s="86"/>
      <c r="G138" s="96"/>
      <c r="H138" s="96"/>
      <c r="J138" s="21"/>
    </row>
    <row r="139" spans="1:10">
      <c r="A139" s="15" t="s">
        <v>178</v>
      </c>
      <c r="C139" s="86"/>
      <c r="D139" s="86"/>
      <c r="E139" s="99"/>
      <c r="F139" s="86"/>
      <c r="G139" s="96"/>
      <c r="H139" s="96"/>
      <c r="J139" s="21"/>
    </row>
    <row r="140" spans="1:10">
      <c r="A140" s="98" t="s">
        <v>177</v>
      </c>
      <c r="C140" s="86">
        <v>14</v>
      </c>
      <c r="D140" s="86">
        <v>14</v>
      </c>
      <c r="E140" s="86">
        <v>15</v>
      </c>
      <c r="F140" s="86">
        <v>14</v>
      </c>
      <c r="G140" s="86">
        <v>12</v>
      </c>
      <c r="H140" s="86">
        <v>10</v>
      </c>
      <c r="J140" s="21"/>
    </row>
    <row r="141" spans="1:10">
      <c r="A141" s="98" t="s">
        <v>171</v>
      </c>
      <c r="C141" s="86">
        <v>26074</v>
      </c>
      <c r="D141" s="86">
        <v>26542</v>
      </c>
      <c r="E141" s="86">
        <v>27061</v>
      </c>
      <c r="F141" s="86">
        <v>26428</v>
      </c>
      <c r="G141" s="86">
        <v>19130</v>
      </c>
      <c r="H141" s="86">
        <v>20843</v>
      </c>
      <c r="J141" s="21"/>
    </row>
    <row r="142" spans="1:10">
      <c r="A142" s="98" t="s">
        <v>172</v>
      </c>
      <c r="C142" s="86">
        <v>26860</v>
      </c>
      <c r="D142" s="86">
        <v>31962</v>
      </c>
      <c r="E142" s="86">
        <v>41937</v>
      </c>
      <c r="F142" s="86">
        <v>49251</v>
      </c>
      <c r="G142" s="86">
        <v>55391</v>
      </c>
      <c r="H142" s="86">
        <v>53472</v>
      </c>
      <c r="J142" s="21"/>
    </row>
    <row r="143" spans="1:10">
      <c r="A143" s="98" t="s">
        <v>173</v>
      </c>
      <c r="C143" s="86">
        <v>-11156</v>
      </c>
      <c r="D143" s="86">
        <v>-13488</v>
      </c>
      <c r="E143" s="86">
        <v>-9269</v>
      </c>
      <c r="F143" s="86">
        <v>-7901</v>
      </c>
      <c r="G143" s="86">
        <v>-10247</v>
      </c>
      <c r="H143" s="86">
        <v>-11253</v>
      </c>
      <c r="J143" s="21"/>
    </row>
    <row r="144" spans="1:10">
      <c r="A144" s="268" t="s">
        <v>174</v>
      </c>
      <c r="C144" s="100">
        <f t="shared" ref="C144:H144" si="20">SUM(C140:C143)</f>
        <v>41792</v>
      </c>
      <c r="D144" s="100">
        <f t="shared" si="20"/>
        <v>45030</v>
      </c>
      <c r="E144" s="100">
        <f t="shared" si="20"/>
        <v>59744</v>
      </c>
      <c r="F144" s="100">
        <f t="shared" si="20"/>
        <v>67792</v>
      </c>
      <c r="G144" s="100">
        <f t="shared" si="20"/>
        <v>64286</v>
      </c>
      <c r="H144" s="100">
        <f t="shared" si="20"/>
        <v>63072</v>
      </c>
      <c r="J144" s="21"/>
    </row>
    <row r="145" spans="1:10">
      <c r="A145" s="98" t="s">
        <v>175</v>
      </c>
      <c r="C145" s="86">
        <v>4165</v>
      </c>
      <c r="D145" s="86">
        <v>4647</v>
      </c>
      <c r="E145" s="99">
        <v>6071</v>
      </c>
      <c r="F145" s="86">
        <v>4135</v>
      </c>
      <c r="G145" s="96">
        <v>3903</v>
      </c>
      <c r="H145" s="96">
        <v>2518</v>
      </c>
      <c r="J145" s="21"/>
    </row>
    <row r="146" spans="1:10">
      <c r="A146" s="98"/>
      <c r="C146" s="86"/>
      <c r="D146" s="86"/>
      <c r="E146" s="86"/>
      <c r="F146" s="86"/>
      <c r="G146" s="96"/>
      <c r="H146" s="96"/>
      <c r="J146" s="21"/>
    </row>
    <row r="147" spans="1:10">
      <c r="A147" s="268" t="s">
        <v>41</v>
      </c>
      <c r="C147" s="100">
        <f t="shared" ref="C147:H147" si="21">SUM(C144:C145)</f>
        <v>45957</v>
      </c>
      <c r="D147" s="100">
        <f t="shared" si="21"/>
        <v>49677</v>
      </c>
      <c r="E147" s="100">
        <f t="shared" si="21"/>
        <v>65815</v>
      </c>
      <c r="F147" s="100">
        <f t="shared" si="21"/>
        <v>71927</v>
      </c>
      <c r="G147" s="100">
        <f t="shared" si="21"/>
        <v>68189</v>
      </c>
      <c r="H147" s="100">
        <f t="shared" si="21"/>
        <v>65590</v>
      </c>
      <c r="J147" s="21"/>
    </row>
    <row r="148" spans="1:10" ht="15.75" thickBot="1">
      <c r="A148" s="268"/>
      <c r="C148" s="86"/>
      <c r="D148" s="86"/>
      <c r="E148" s="86"/>
      <c r="F148" s="86"/>
      <c r="G148" s="97"/>
      <c r="H148" s="97"/>
      <c r="J148" s="21"/>
    </row>
    <row r="149" spans="1:10" ht="16.5" thickTop="1" thickBot="1">
      <c r="A149" s="99" t="s">
        <v>197</v>
      </c>
      <c r="B149" s="1"/>
      <c r="C149" s="104">
        <f t="shared" ref="C149:H149" si="22">C134+C137+C147</f>
        <v>228037</v>
      </c>
      <c r="D149" s="104">
        <f t="shared" si="22"/>
        <v>235194</v>
      </c>
      <c r="E149" s="104">
        <f t="shared" si="22"/>
        <v>244718</v>
      </c>
      <c r="F149" s="104">
        <f t="shared" si="22"/>
        <v>264036</v>
      </c>
      <c r="G149" s="104">
        <f t="shared" si="22"/>
        <v>273065</v>
      </c>
      <c r="H149" s="104">
        <f t="shared" si="22"/>
        <v>279761</v>
      </c>
      <c r="J149" s="21"/>
    </row>
    <row r="150" spans="1:10" ht="15.75" thickTop="1">
      <c r="A150" s="58"/>
      <c r="C150" s="1"/>
      <c r="D150" s="1"/>
      <c r="E150" s="1"/>
      <c r="F150" s="1"/>
      <c r="G150" s="1"/>
      <c r="H150" s="1"/>
      <c r="J150" s="21"/>
    </row>
    <row r="151" spans="1:10">
      <c r="A151" s="15" t="s">
        <v>198</v>
      </c>
      <c r="C151">
        <f>C113-C149</f>
        <v>0</v>
      </c>
      <c r="D151">
        <f t="shared" ref="D151:H151" si="23">D113-D149</f>
        <v>0</v>
      </c>
      <c r="E151">
        <f t="shared" si="23"/>
        <v>0</v>
      </c>
      <c r="F151">
        <f t="shared" si="23"/>
        <v>0</v>
      </c>
      <c r="G151">
        <f t="shared" si="23"/>
        <v>0</v>
      </c>
      <c r="H151">
        <f t="shared" si="23"/>
        <v>0</v>
      </c>
      <c r="J151" s="21"/>
    </row>
    <row r="152" spans="1:10">
      <c r="A152" s="61"/>
      <c r="C152" s="86"/>
      <c r="D152" s="86"/>
      <c r="E152" s="86"/>
      <c r="F152" s="86"/>
      <c r="G152" s="86"/>
      <c r="H152" s="86"/>
      <c r="J152" s="21"/>
    </row>
    <row r="153" spans="1:10">
      <c r="A153" s="13"/>
      <c r="C153" s="86"/>
      <c r="D153" s="86"/>
      <c r="E153" s="86"/>
      <c r="F153" s="86"/>
      <c r="G153" s="86"/>
      <c r="H153" s="86"/>
      <c r="J153" s="21"/>
    </row>
    <row r="154" spans="1:10">
      <c r="A154" s="13"/>
      <c r="C154" s="86"/>
      <c r="D154" s="86"/>
      <c r="E154" s="86"/>
      <c r="F154" s="86"/>
      <c r="G154" s="86"/>
      <c r="H154" s="86"/>
      <c r="J154" s="21"/>
    </row>
    <row r="155" spans="1:10">
      <c r="A155" s="431" t="s">
        <v>81</v>
      </c>
      <c r="C155" s="432" t="s">
        <v>80</v>
      </c>
      <c r="D155" s="86"/>
      <c r="E155" s="437">
        <v>5.8000000000000003E-2</v>
      </c>
      <c r="F155" s="86"/>
      <c r="G155" s="86"/>
      <c r="H155" s="86"/>
      <c r="J155" s="21"/>
    </row>
    <row r="156" spans="1:10">
      <c r="A156" s="61"/>
      <c r="C156" s="86"/>
      <c r="D156" s="86"/>
      <c r="E156" s="86"/>
      <c r="F156" s="86"/>
      <c r="G156" s="86"/>
      <c r="H156" s="86"/>
      <c r="J156" s="21"/>
    </row>
    <row r="157" spans="1:10">
      <c r="A157" s="58"/>
      <c r="C157" s="86"/>
      <c r="D157" s="86"/>
      <c r="E157" s="86"/>
      <c r="F157" s="86"/>
      <c r="G157" s="86"/>
      <c r="H157" s="86"/>
      <c r="J157" s="21"/>
    </row>
    <row r="158" spans="1:10">
      <c r="A158" s="431" t="s">
        <v>82</v>
      </c>
      <c r="C158" s="86">
        <v>2025</v>
      </c>
      <c r="D158" s="86">
        <v>2026</v>
      </c>
      <c r="E158" s="86">
        <v>2027</v>
      </c>
      <c r="F158" s="86">
        <v>2028</v>
      </c>
      <c r="G158" s="86">
        <v>2029</v>
      </c>
      <c r="H158" s="86"/>
      <c r="J158" s="357"/>
    </row>
    <row r="159" spans="1:10">
      <c r="A159" s="15"/>
      <c r="C159" s="86">
        <v>39531</v>
      </c>
      <c r="D159" s="86">
        <v>24228</v>
      </c>
      <c r="E159" s="86">
        <v>21160</v>
      </c>
      <c r="F159" s="86">
        <v>11191</v>
      </c>
      <c r="G159" s="86">
        <v>23247</v>
      </c>
      <c r="H159" s="1"/>
      <c r="J159" s="21"/>
    </row>
    <row r="160" spans="1:10">
      <c r="A160" s="13"/>
      <c r="C160" s="86"/>
      <c r="D160" s="86"/>
      <c r="E160" s="86"/>
      <c r="F160" s="86"/>
      <c r="G160" s="86"/>
      <c r="J160" s="21"/>
    </row>
    <row r="161" spans="1:31">
      <c r="A161" s="15"/>
      <c r="C161" s="1"/>
      <c r="D161" s="1"/>
      <c r="E161" s="1"/>
      <c r="F161" s="1"/>
      <c r="G161" s="1"/>
      <c r="H161" s="1"/>
      <c r="J161" s="21"/>
    </row>
    <row r="163" spans="1:31">
      <c r="C163" s="70"/>
      <c r="D163" s="70"/>
      <c r="E163" s="70"/>
      <c r="F163" s="70"/>
      <c r="G163" s="70"/>
      <c r="H163" s="70"/>
    </row>
    <row r="164" spans="1:31" ht="14.25" customHeight="1">
      <c r="C164" s="70"/>
      <c r="D164" s="70"/>
      <c r="E164" s="70"/>
      <c r="F164" s="70"/>
      <c r="G164" s="70"/>
      <c r="H164" s="70"/>
    </row>
    <row r="165" spans="1:31">
      <c r="B165" s="273"/>
      <c r="C165" s="70"/>
      <c r="D165" s="70"/>
      <c r="E165" s="70"/>
      <c r="F165" s="70"/>
      <c r="G165" s="70"/>
      <c r="H165" s="70"/>
    </row>
    <row r="166" spans="1:31" ht="15" customHeight="1">
      <c r="B166" s="273"/>
      <c r="C166" s="70"/>
      <c r="D166" s="70"/>
      <c r="E166" s="70"/>
      <c r="F166" s="70"/>
      <c r="G166" s="70"/>
      <c r="H166" s="70"/>
    </row>
    <row r="167" spans="1:31">
      <c r="B167" s="273"/>
      <c r="C167" s="70"/>
      <c r="D167" s="70"/>
      <c r="E167" s="70"/>
      <c r="F167" s="70"/>
      <c r="G167" s="70"/>
      <c r="H167" s="70"/>
    </row>
    <row r="168" spans="1:31">
      <c r="B168" s="273"/>
      <c r="C168" s="70"/>
      <c r="D168" s="70"/>
      <c r="E168" s="70"/>
      <c r="F168" s="70"/>
      <c r="G168" s="70"/>
      <c r="H168" s="70"/>
    </row>
    <row r="169" spans="1:31">
      <c r="B169" s="273"/>
      <c r="C169" s="70"/>
      <c r="D169" s="70"/>
      <c r="E169" s="70"/>
      <c r="F169" s="70"/>
      <c r="G169" s="70"/>
      <c r="H169" s="70"/>
    </row>
    <row r="170" spans="1:31">
      <c r="B170" s="273"/>
      <c r="C170" s="70"/>
      <c r="D170" s="70"/>
      <c r="E170" s="70"/>
      <c r="F170" s="70"/>
      <c r="G170" s="70"/>
      <c r="H170" s="70"/>
    </row>
    <row r="171" spans="1:31">
      <c r="B171" s="273"/>
      <c r="C171" s="70"/>
      <c r="D171" s="70"/>
      <c r="E171" s="70"/>
      <c r="F171" s="70"/>
      <c r="G171" s="70"/>
      <c r="H171" s="70"/>
    </row>
    <row r="172" spans="1:31">
      <c r="B172" s="273"/>
      <c r="C172" s="70"/>
      <c r="D172" s="70"/>
      <c r="E172" s="70"/>
      <c r="F172" s="70"/>
      <c r="G172" s="70"/>
      <c r="H172" s="70"/>
    </row>
    <row r="173" spans="1:31">
      <c r="B173" s="273"/>
      <c r="C173" s="70"/>
      <c r="D173" s="70"/>
      <c r="E173" s="70"/>
      <c r="F173" s="70"/>
      <c r="G173" s="70"/>
      <c r="H173" s="70"/>
    </row>
    <row r="174" spans="1:31">
      <c r="B174" s="273"/>
      <c r="C174" s="70"/>
      <c r="D174" s="70"/>
      <c r="E174" s="70"/>
      <c r="F174" s="70"/>
      <c r="G174" s="70"/>
      <c r="H174" s="70"/>
      <c r="Y174" s="93"/>
      <c r="AE174" s="93"/>
    </row>
    <row r="175" spans="1:31">
      <c r="B175" s="273"/>
      <c r="C175" s="70"/>
      <c r="D175" s="70"/>
      <c r="E175" s="70"/>
      <c r="F175" s="70"/>
      <c r="G175" s="70"/>
      <c r="H175" s="70"/>
    </row>
    <row r="176" spans="1:31">
      <c r="B176" s="273"/>
      <c r="C176" s="70"/>
      <c r="D176" s="70"/>
      <c r="E176" s="70"/>
      <c r="F176" s="70"/>
      <c r="G176" s="70"/>
      <c r="H176" s="70"/>
    </row>
    <row r="177" spans="2:8">
      <c r="B177" s="273"/>
      <c r="C177" s="70"/>
      <c r="D177" s="70"/>
      <c r="E177" s="70"/>
      <c r="F177" s="70"/>
      <c r="G177" s="70"/>
      <c r="H177" s="70"/>
    </row>
    <row r="178" spans="2:8">
      <c r="B178" s="273"/>
      <c r="C178" s="70"/>
      <c r="D178" s="70"/>
      <c r="E178" s="70"/>
      <c r="F178" s="70"/>
      <c r="G178" s="70"/>
      <c r="H178" s="70"/>
    </row>
    <row r="179" spans="2:8">
      <c r="B179" s="273"/>
      <c r="C179" s="70"/>
      <c r="D179" s="70"/>
      <c r="E179" s="70"/>
      <c r="F179" s="70"/>
      <c r="G179" s="70"/>
      <c r="H179" s="70"/>
    </row>
    <row r="180" spans="2:8">
      <c r="B180" s="273"/>
      <c r="C180" s="70"/>
      <c r="D180" s="70"/>
      <c r="E180" s="70"/>
      <c r="F180" s="70"/>
      <c r="G180" s="70"/>
      <c r="H180" s="70"/>
    </row>
    <row r="181" spans="2:8" ht="15" customHeight="1">
      <c r="B181" s="273"/>
      <c r="C181" s="70"/>
      <c r="D181" s="70"/>
      <c r="E181" s="70"/>
      <c r="F181" s="70"/>
      <c r="G181" s="70"/>
      <c r="H181" s="70"/>
    </row>
    <row r="182" spans="2:8">
      <c r="B182" s="273"/>
      <c r="C182" s="70"/>
      <c r="D182" s="70"/>
      <c r="E182" s="70"/>
      <c r="F182" s="70"/>
      <c r="G182" s="70"/>
      <c r="H182" s="70"/>
    </row>
    <row r="183" spans="2:8">
      <c r="C183" s="70"/>
      <c r="D183" s="70"/>
      <c r="E183" s="70"/>
      <c r="F183" s="70"/>
      <c r="G183" s="70"/>
      <c r="H183" s="70"/>
    </row>
    <row r="184" spans="2:8">
      <c r="C184" s="70"/>
      <c r="D184" s="70"/>
      <c r="E184" s="70"/>
      <c r="F184" s="70"/>
      <c r="G184" s="70"/>
      <c r="H184" s="70"/>
    </row>
  </sheetData>
  <mergeCells count="2">
    <mergeCell ref="C17:G17"/>
    <mergeCell ref="E60:G60"/>
  </mergeCells>
  <phoneticPr fontId="5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A34"/>
  <sheetViews>
    <sheetView showGridLines="0" zoomScaleNormal="100" zoomScaleSheetLayoutView="90" workbookViewId="0">
      <selection activeCell="D7" sqref="D7"/>
    </sheetView>
  </sheetViews>
  <sheetFormatPr defaultColWidth="9" defaultRowHeight="15"/>
  <cols>
    <col min="1" max="1" width="36" bestFit="1" customWidth="1"/>
    <col min="2" max="2" width="3.42578125" customWidth="1"/>
    <col min="3" max="3" width="14.42578125" customWidth="1"/>
    <col min="4" max="4" width="12.42578125" customWidth="1"/>
    <col min="5" max="6" width="12" customWidth="1"/>
    <col min="7" max="9" width="12.42578125" customWidth="1"/>
    <col min="10" max="10" width="3.28515625" customWidth="1"/>
    <col min="11" max="11" width="12.5703125" customWidth="1"/>
    <col min="12" max="14" width="12.140625" customWidth="1"/>
    <col min="15" max="15" width="12.85546875" bestFit="1" customWidth="1"/>
    <col min="16" max="16" width="13.140625" customWidth="1"/>
  </cols>
  <sheetData>
    <row r="1" spans="1:27">
      <c r="A1" s="29" t="s">
        <v>0</v>
      </c>
    </row>
    <row r="2" spans="1:27">
      <c r="A2" t="s">
        <v>1</v>
      </c>
      <c r="C2" s="1" t="s">
        <v>2</v>
      </c>
      <c r="D2" s="30">
        <v>45651</v>
      </c>
    </row>
    <row r="3" spans="1:27">
      <c r="A3" s="51" t="s">
        <v>3</v>
      </c>
      <c r="B3" s="31"/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/>
      <c r="J3" s="83"/>
      <c r="K3" s="83"/>
      <c r="L3" s="32" t="s">
        <v>4</v>
      </c>
      <c r="M3" s="32" t="s">
        <v>4</v>
      </c>
      <c r="N3" s="32" t="s">
        <v>4</v>
      </c>
      <c r="O3" s="32" t="s">
        <v>4</v>
      </c>
      <c r="P3" s="32" t="s">
        <v>4</v>
      </c>
    </row>
    <row r="4" spans="1:27">
      <c r="A4" s="2"/>
      <c r="B4" s="31"/>
      <c r="C4" s="33" t="s">
        <v>5</v>
      </c>
      <c r="D4" s="33" t="s">
        <v>6</v>
      </c>
      <c r="E4" s="33" t="s">
        <v>7</v>
      </c>
      <c r="F4" s="33" t="s">
        <v>8</v>
      </c>
      <c r="G4" s="33" t="s">
        <v>9</v>
      </c>
      <c r="H4" s="33" t="s">
        <v>10</v>
      </c>
      <c r="I4" s="33"/>
      <c r="J4" s="11"/>
      <c r="K4" s="11"/>
      <c r="L4" s="10" t="s">
        <v>11</v>
      </c>
      <c r="M4" s="10" t="s">
        <v>12</v>
      </c>
      <c r="N4" s="10" t="s">
        <v>13</v>
      </c>
      <c r="O4" s="10" t="s">
        <v>14</v>
      </c>
      <c r="P4" s="48" t="s">
        <v>43</v>
      </c>
    </row>
    <row r="5" spans="1:27">
      <c r="L5" s="34"/>
      <c r="M5" s="34"/>
      <c r="N5" s="34"/>
      <c r="O5" s="34"/>
      <c r="P5" s="34"/>
    </row>
    <row r="6" spans="1:27">
      <c r="A6" s="139" t="s">
        <v>212</v>
      </c>
      <c r="C6" s="6">
        <f>Raw!C7</f>
        <v>106366</v>
      </c>
      <c r="D6" s="6">
        <f>Raw!D7</f>
        <v>96733</v>
      </c>
      <c r="E6" s="6">
        <f>Raw!E7</f>
        <v>101308</v>
      </c>
      <c r="F6" s="6">
        <f>Raw!F7</f>
        <v>128378</v>
      </c>
      <c r="G6" s="6">
        <f>Raw!G7</f>
        <v>141445</v>
      </c>
      <c r="H6" s="6">
        <f>Raw!H7</f>
        <v>157509</v>
      </c>
      <c r="I6" s="6"/>
      <c r="J6" s="7"/>
      <c r="K6" s="7"/>
      <c r="L6" s="36">
        <f>H6*(1+$I$8)</f>
        <v>178373.27570263733</v>
      </c>
      <c r="M6" s="36">
        <f>L6*(1+$L$8)</f>
        <v>202001.31728910137</v>
      </c>
      <c r="N6" s="36">
        <f t="shared" ref="N6:O6" si="0">M6*(1+$L$8)</f>
        <v>228759.22430530825</v>
      </c>
      <c r="O6" s="36">
        <f t="shared" si="0"/>
        <v>259061.59131562134</v>
      </c>
      <c r="P6" s="36">
        <f>O6*(1+$L$8)</f>
        <v>293377.93174806063</v>
      </c>
      <c r="Q6" s="6"/>
      <c r="R6" s="6"/>
      <c r="S6" s="6"/>
      <c r="T6" s="6"/>
      <c r="U6" s="6"/>
      <c r="V6" s="6"/>
      <c r="W6" s="6"/>
      <c r="X6" s="6"/>
      <c r="Y6" s="6"/>
    </row>
    <row r="7" spans="1:27" s="27" customFormat="1">
      <c r="A7" s="82" t="s">
        <v>113</v>
      </c>
      <c r="C7" s="25"/>
      <c r="D7" s="91">
        <f>D6/C6-1</f>
        <v>-9.0564654118797328E-2</v>
      </c>
      <c r="E7" s="91">
        <f>E6/D6-1</f>
        <v>4.729513196117141E-2</v>
      </c>
      <c r="F7" s="91">
        <f>F6/E6-1</f>
        <v>0.26720495913452047</v>
      </c>
      <c r="G7" s="91">
        <f>G6/F6-1</f>
        <v>0.10178535263051303</v>
      </c>
      <c r="H7" s="91">
        <f>H6/G6-1</f>
        <v>0.11357064583406973</v>
      </c>
      <c r="I7" s="91"/>
      <c r="J7" s="84"/>
      <c r="K7" s="84"/>
      <c r="L7" s="38"/>
      <c r="M7" s="38"/>
      <c r="N7" s="38"/>
      <c r="O7" s="38"/>
      <c r="P7" s="38"/>
      <c r="Q7" s="37"/>
      <c r="R7" s="37"/>
      <c r="S7" s="37"/>
      <c r="T7" s="37"/>
      <c r="U7" s="37"/>
      <c r="V7" s="37"/>
      <c r="W7" s="37"/>
      <c r="X7" s="37"/>
      <c r="Y7" s="37"/>
    </row>
    <row r="8" spans="1:27" s="27" customFormat="1">
      <c r="A8" s="53" t="s">
        <v>54</v>
      </c>
      <c r="C8" s="25">
        <f>Raw!C18</f>
        <v>0</v>
      </c>
      <c r="D8" s="25">
        <f>Raw!D18</f>
        <v>0</v>
      </c>
      <c r="E8" s="25">
        <f>Raw!E18</f>
        <v>0</v>
      </c>
      <c r="F8" s="25">
        <f>Raw!F18</f>
        <v>0</v>
      </c>
      <c r="G8" s="25">
        <f>Raw!G18</f>
        <v>0</v>
      </c>
      <c r="I8" s="49">
        <f>AVERAGE(E7:H7)</f>
        <v>0.13246402239006866</v>
      </c>
      <c r="J8" s="84"/>
      <c r="K8" s="84"/>
      <c r="L8" s="49">
        <f>I8</f>
        <v>0.13246402239006866</v>
      </c>
      <c r="M8" s="38"/>
      <c r="N8" s="38"/>
      <c r="O8" s="38"/>
      <c r="P8" s="38"/>
      <c r="Q8" s="37"/>
      <c r="R8" s="37"/>
      <c r="S8" s="37"/>
      <c r="T8" s="37"/>
      <c r="U8" s="37"/>
      <c r="V8" s="37"/>
      <c r="W8" s="37"/>
      <c r="X8" s="37"/>
      <c r="Y8" s="37"/>
    </row>
    <row r="9" spans="1:27">
      <c r="C9" s="6"/>
      <c r="D9" s="37"/>
      <c r="E9" s="37"/>
      <c r="F9" s="37"/>
      <c r="G9" s="37"/>
      <c r="J9" s="84"/>
      <c r="K9" s="84"/>
      <c r="L9" s="34"/>
      <c r="M9" s="34"/>
      <c r="N9" s="34"/>
      <c r="O9" s="34"/>
      <c r="P9" s="34"/>
    </row>
    <row r="10" spans="1:27">
      <c r="A10" s="139" t="s">
        <v>213</v>
      </c>
      <c r="C10" s="6">
        <f>Raw!C8</f>
        <v>16111</v>
      </c>
      <c r="D10" s="6">
        <f>Raw!D8</f>
        <v>11586</v>
      </c>
      <c r="E10" s="6">
        <f>Raw!E8</f>
        <v>12172</v>
      </c>
      <c r="F10" s="6">
        <f>Raw!F8</f>
        <v>15420</v>
      </c>
      <c r="G10" s="6">
        <f>Raw!G8</f>
        <v>15949</v>
      </c>
      <c r="H10" s="6">
        <f>Raw!H8</f>
        <v>13890</v>
      </c>
      <c r="I10" s="6"/>
      <c r="J10" s="7"/>
      <c r="K10" s="7"/>
      <c r="L10" s="36">
        <f>H10*(1+$L$12)</f>
        <v>14663.073331706169</v>
      </c>
      <c r="M10" s="36">
        <f>L10*(1+$L$12)</f>
        <v>15479.173472353685</v>
      </c>
      <c r="N10" s="36">
        <f t="shared" ref="N10:P10" si="1">M10*(1+$L$12)</f>
        <v>16340.69515761864</v>
      </c>
      <c r="O10" s="36">
        <f t="shared" si="1"/>
        <v>17250.166406567172</v>
      </c>
      <c r="P10" s="36">
        <f t="shared" si="1"/>
        <v>18210.25593978609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27" customFormat="1">
      <c r="A11" s="82" t="s">
        <v>113</v>
      </c>
      <c r="C11" s="25"/>
      <c r="D11" s="91">
        <f>D10/C10-1</f>
        <v>-0.28086400595866179</v>
      </c>
      <c r="E11" s="91">
        <f>E10/D10-1</f>
        <v>5.0578284136026275E-2</v>
      </c>
      <c r="F11" s="91">
        <f>F10/E10-1</f>
        <v>0.26684193230364772</v>
      </c>
      <c r="G11" s="91">
        <f>G10/F10-1</f>
        <v>3.430609597924783E-2</v>
      </c>
      <c r="H11" s="91">
        <f>H10/G10-1</f>
        <v>-0.12909900307229294</v>
      </c>
      <c r="I11" s="91"/>
      <c r="J11" s="84"/>
      <c r="K11" s="84"/>
      <c r="L11" s="38"/>
      <c r="M11" s="38"/>
      <c r="N11" s="38"/>
      <c r="O11" s="38"/>
      <c r="P11" s="38"/>
      <c r="Q11" s="37"/>
      <c r="R11" s="37"/>
      <c r="S11" s="37"/>
      <c r="T11" s="37"/>
      <c r="U11" s="37"/>
      <c r="V11" s="37"/>
      <c r="W11" s="37"/>
      <c r="X11" s="37"/>
      <c r="Y11" s="37"/>
    </row>
    <row r="12" spans="1:27" s="27" customFormat="1">
      <c r="A12" s="53" t="s">
        <v>54</v>
      </c>
      <c r="C12" s="25">
        <f>Raw!C19</f>
        <v>0</v>
      </c>
      <c r="D12" s="25">
        <f>Raw!D19</f>
        <v>0</v>
      </c>
      <c r="E12" s="25">
        <f>Raw!E19</f>
        <v>0</v>
      </c>
      <c r="F12" s="25">
        <f>Raw!F19</f>
        <v>0</v>
      </c>
      <c r="G12" s="25">
        <f>Raw!G19</f>
        <v>0</v>
      </c>
      <c r="I12" s="49">
        <f>AVERAGE(E11:H11)</f>
        <v>5.5656827336657222E-2</v>
      </c>
      <c r="J12" s="84"/>
      <c r="K12" s="84"/>
      <c r="L12" s="49">
        <f>I12</f>
        <v>5.5656827336657222E-2</v>
      </c>
      <c r="M12" s="38"/>
      <c r="N12" s="38"/>
      <c r="O12" s="38"/>
      <c r="P12" s="38"/>
      <c r="Q12" s="37"/>
      <c r="R12" s="37"/>
      <c r="S12" s="37"/>
      <c r="T12" s="37"/>
      <c r="U12" s="37"/>
      <c r="V12" s="37"/>
      <c r="W12" s="37"/>
      <c r="X12" s="37"/>
      <c r="Y12" s="37"/>
    </row>
    <row r="13" spans="1:27">
      <c r="C13" s="6"/>
      <c r="D13" s="6"/>
      <c r="E13" s="6"/>
      <c r="F13" s="6"/>
      <c r="G13" s="6"/>
      <c r="L13" s="34"/>
      <c r="M13" s="34"/>
      <c r="N13" s="34"/>
      <c r="O13" s="34"/>
      <c r="P13" s="34"/>
    </row>
    <row r="14" spans="1:27">
      <c r="A14" t="s">
        <v>214</v>
      </c>
      <c r="C14" s="6">
        <f>Raw!C9</f>
        <v>100</v>
      </c>
      <c r="D14" s="6">
        <f>Raw!D9</f>
        <v>103</v>
      </c>
      <c r="E14" s="6">
        <f>Raw!E9</f>
        <v>106</v>
      </c>
      <c r="F14" s="6">
        <f>Raw!F9</f>
        <v>102</v>
      </c>
      <c r="G14" s="6">
        <f>Raw!G9</f>
        <v>102</v>
      </c>
      <c r="H14" s="6">
        <f>Raw!H9</f>
        <v>257</v>
      </c>
      <c r="I14" s="6"/>
      <c r="J14" s="7"/>
      <c r="K14" s="7"/>
      <c r="L14" s="36">
        <f>H14*(1+$L$16)</f>
        <v>354.08163484298279</v>
      </c>
      <c r="M14" s="36">
        <f>L14*(1+$L$16)</f>
        <v>487.83581374739072</v>
      </c>
      <c r="N14" s="36">
        <f t="shared" ref="N14:P14" si="2">M14*(1+$L$16)</f>
        <v>672.11557380012823</v>
      </c>
      <c r="O14" s="36">
        <f t="shared" si="2"/>
        <v>926.00693064038467</v>
      </c>
      <c r="P14" s="36">
        <f t="shared" si="2"/>
        <v>1275.8056337629571</v>
      </c>
      <c r="Q14" s="6"/>
      <c r="R14" s="6"/>
      <c r="S14" s="6"/>
      <c r="T14" s="6"/>
      <c r="U14" s="6"/>
      <c r="V14" s="6"/>
      <c r="W14" s="6"/>
      <c r="X14" s="6"/>
      <c r="Y14" s="6"/>
    </row>
    <row r="15" spans="1:27" s="27" customFormat="1">
      <c r="A15" s="82" t="s">
        <v>113</v>
      </c>
      <c r="C15" s="6"/>
      <c r="D15" s="91">
        <f>D14/C14-1</f>
        <v>3.0000000000000027E-2</v>
      </c>
      <c r="E15" s="91">
        <f>E14/D14-1</f>
        <v>2.9126213592232997E-2</v>
      </c>
      <c r="F15" s="91">
        <f>F14/E14-1</f>
        <v>-3.7735849056603765E-2</v>
      </c>
      <c r="G15" s="91">
        <f>G14/F14-1</f>
        <v>0</v>
      </c>
      <c r="H15" s="91">
        <f>H14/G14-1</f>
        <v>1.5196078431372548</v>
      </c>
      <c r="I15" s="91"/>
      <c r="J15" s="84"/>
      <c r="K15" s="84"/>
      <c r="L15" s="38"/>
      <c r="M15" s="38"/>
      <c r="N15" s="38"/>
      <c r="O15" s="38"/>
      <c r="P15" s="38"/>
      <c r="Q15" s="37"/>
      <c r="R15" s="37"/>
    </row>
    <row r="16" spans="1:27" s="27" customFormat="1">
      <c r="A16" s="53" t="s">
        <v>54</v>
      </c>
      <c r="C16" s="25">
        <f>Raw!C20</f>
        <v>0</v>
      </c>
      <c r="D16" s="25">
        <f>Raw!D20</f>
        <v>0</v>
      </c>
      <c r="E16" s="25">
        <f>Raw!E20</f>
        <v>0</v>
      </c>
      <c r="F16" s="25">
        <f>Raw!F20</f>
        <v>0</v>
      </c>
      <c r="G16" s="25">
        <f>Raw!G20</f>
        <v>0</v>
      </c>
      <c r="I16" s="49">
        <f>AVERAGE(E15:H15)</f>
        <v>0.37774955191822102</v>
      </c>
      <c r="J16" s="84"/>
      <c r="K16" s="84"/>
      <c r="L16" s="49">
        <f>I16</f>
        <v>0.37774955191822102</v>
      </c>
      <c r="M16" s="38"/>
      <c r="N16" s="38"/>
      <c r="O16" s="38"/>
      <c r="P16" s="38"/>
      <c r="Q16" s="37"/>
      <c r="R16" s="37"/>
    </row>
    <row r="17" spans="1:27">
      <c r="C17" s="6"/>
      <c r="D17" s="6"/>
      <c r="E17" s="6"/>
      <c r="F17" s="6"/>
      <c r="G17" s="6"/>
      <c r="L17" s="34"/>
      <c r="M17" s="34"/>
      <c r="N17" s="34"/>
      <c r="O17" s="34"/>
      <c r="P17" s="34"/>
    </row>
    <row r="18" spans="1:27">
      <c r="A18" t="s">
        <v>179</v>
      </c>
      <c r="C18" s="6">
        <f>Raw!C10</f>
        <v>14554</v>
      </c>
      <c r="D18" s="6">
        <f>Raw!D10</f>
        <v>13831</v>
      </c>
      <c r="E18" s="6">
        <f>Raw!E10</f>
        <v>13419</v>
      </c>
      <c r="F18" s="6">
        <f>Raw!F10</f>
        <v>12766</v>
      </c>
      <c r="G18" s="6">
        <f>Raw!G10</f>
        <v>14225</v>
      </c>
      <c r="H18" s="6">
        <f>Raw!H10</f>
        <v>15875</v>
      </c>
      <c r="I18" s="6"/>
      <c r="J18" s="7"/>
      <c r="K18" s="7"/>
      <c r="L18" s="36">
        <f>H18*(1+I20)</f>
        <v>16477.576983427036</v>
      </c>
      <c r="M18" s="36">
        <f>L18*(1+$L$20)</f>
        <v>17103.026346126891</v>
      </c>
      <c r="N18" s="36">
        <f t="shared" ref="N18:P18" si="3">M18*(1+$L$20)</f>
        <v>17752.216268843255</v>
      </c>
      <c r="O18" s="36">
        <f t="shared" si="3"/>
        <v>18426.04788638177</v>
      </c>
      <c r="P18" s="36">
        <f t="shared" si="3"/>
        <v>19125.456538467315</v>
      </c>
      <c r="Q18" s="6"/>
      <c r="R18" s="6"/>
      <c r="S18" s="6"/>
      <c r="T18" s="6"/>
      <c r="U18" s="6"/>
    </row>
    <row r="19" spans="1:27" s="27" customFormat="1">
      <c r="A19" s="82" t="s">
        <v>113</v>
      </c>
      <c r="C19" s="6"/>
      <c r="D19" s="91">
        <f>D18/C18-1</f>
        <v>-4.9677064724474418E-2</v>
      </c>
      <c r="E19" s="91">
        <f>E18/D18-1</f>
        <v>-2.9788157038536656E-2</v>
      </c>
      <c r="F19" s="91">
        <f>F18/E18-1</f>
        <v>-4.8662344436992355E-2</v>
      </c>
      <c r="G19" s="91">
        <f>G18/F18-1</f>
        <v>0.1142879523734921</v>
      </c>
      <c r="H19" s="91">
        <f>H18/G18-1</f>
        <v>0.1159929701230229</v>
      </c>
      <c r="I19" s="91"/>
      <c r="J19" s="84"/>
      <c r="K19" s="84"/>
      <c r="L19" s="38"/>
      <c r="M19" s="38"/>
      <c r="N19" s="38"/>
      <c r="O19" s="38"/>
      <c r="P19" s="38"/>
      <c r="Q19" s="37"/>
      <c r="R19" s="37"/>
    </row>
    <row r="20" spans="1:27" s="27" customFormat="1">
      <c r="A20" s="53" t="s">
        <v>54</v>
      </c>
      <c r="C20" s="25">
        <f>Raw!C21</f>
        <v>0</v>
      </c>
      <c r="D20" s="25">
        <f>Raw!D21</f>
        <v>0</v>
      </c>
      <c r="E20" s="25">
        <f>Raw!E21</f>
        <v>0</v>
      </c>
      <c r="F20" s="25">
        <f>Raw!F21</f>
        <v>0</v>
      </c>
      <c r="G20" s="25">
        <f>Raw!G21</f>
        <v>0</v>
      </c>
      <c r="I20" s="49">
        <f>AVERAGE(E19:H19)</f>
        <v>3.7957605255246496E-2</v>
      </c>
      <c r="J20" s="84"/>
      <c r="K20" s="84"/>
      <c r="L20" s="49">
        <f>I20</f>
        <v>3.7957605255246496E-2</v>
      </c>
      <c r="M20" s="38"/>
      <c r="N20" s="38"/>
      <c r="O20" s="38"/>
      <c r="P20" s="38"/>
      <c r="Q20" s="37"/>
      <c r="R20" s="37"/>
    </row>
    <row r="21" spans="1:27">
      <c r="C21" s="6"/>
      <c r="D21" s="6"/>
      <c r="E21" s="6"/>
      <c r="F21" s="6"/>
      <c r="G21" s="6"/>
      <c r="L21" s="34"/>
      <c r="M21" s="34"/>
      <c r="N21" s="34"/>
      <c r="O21" s="34"/>
      <c r="P21" s="34"/>
    </row>
    <row r="22" spans="1:27">
      <c r="C22" s="6"/>
      <c r="D22" s="6"/>
      <c r="E22" s="6"/>
      <c r="F22" s="6"/>
      <c r="G22" s="6"/>
      <c r="L22" s="34"/>
      <c r="M22" s="34"/>
      <c r="N22" s="34"/>
      <c r="O22" s="34"/>
      <c r="P22" s="34"/>
    </row>
    <row r="23" spans="1:27">
      <c r="A23" s="35" t="s">
        <v>15</v>
      </c>
      <c r="C23" s="6">
        <f>Raw!C11</f>
        <v>220</v>
      </c>
      <c r="D23" s="6">
        <f>Raw!D11</f>
        <v>350</v>
      </c>
      <c r="E23" s="6">
        <f>Raw!E11</f>
        <v>104</v>
      </c>
      <c r="F23" s="6">
        <f>Raw!F11</f>
        <v>177</v>
      </c>
      <c r="G23" s="6">
        <f>Raw!G11</f>
        <v>273</v>
      </c>
      <c r="H23" s="6">
        <f>Raw!H11</f>
        <v>206</v>
      </c>
      <c r="I23" s="6"/>
      <c r="J23" s="7"/>
      <c r="K23" s="7"/>
      <c r="L23" s="36">
        <f>H23*(1+$L$25)</f>
        <v>221.24490485503199</v>
      </c>
      <c r="M23" s="36">
        <f>L23*(1+$L$25)</f>
        <v>237.61799963258326</v>
      </c>
      <c r="N23" s="36">
        <f t="shared" ref="N23:P23" si="4">M23*(1+$L$25)</f>
        <v>255.2027753424947</v>
      </c>
      <c r="O23" s="36">
        <f t="shared" si="4"/>
        <v>274.08890169606963</v>
      </c>
      <c r="P23" s="36">
        <f t="shared" si="4"/>
        <v>294.37268435712201</v>
      </c>
      <c r="Q23" s="6"/>
      <c r="R23" s="6"/>
      <c r="S23" s="6"/>
      <c r="T23" s="6"/>
      <c r="U23" s="6"/>
      <c r="V23" s="6"/>
      <c r="W23" s="6"/>
    </row>
    <row r="24" spans="1:27" s="27" customFormat="1">
      <c r="A24" s="82" t="s">
        <v>113</v>
      </c>
      <c r="C24" s="37"/>
      <c r="D24" s="91">
        <f>D23/C23-1</f>
        <v>0.59090909090909083</v>
      </c>
      <c r="E24" s="91">
        <f>E23/D23-1</f>
        <v>-0.70285714285714285</v>
      </c>
      <c r="F24" s="91">
        <f>F23/E23-1</f>
        <v>0.70192307692307687</v>
      </c>
      <c r="G24" s="91">
        <f>G23/F23-1</f>
        <v>0.54237288135593231</v>
      </c>
      <c r="H24" s="91">
        <f>H23/G23-1</f>
        <v>-0.24542124542124544</v>
      </c>
      <c r="I24" s="91"/>
      <c r="J24" s="84"/>
      <c r="K24" s="84"/>
      <c r="L24" s="38"/>
      <c r="M24" s="38"/>
      <c r="N24" s="38"/>
      <c r="O24" s="38"/>
      <c r="P24" s="38"/>
      <c r="Q24" s="37"/>
      <c r="R24" s="37"/>
      <c r="S24" s="37"/>
      <c r="T24" s="37"/>
      <c r="U24" s="37"/>
      <c r="V24" s="37"/>
      <c r="W24" s="37"/>
      <c r="X24" s="37"/>
      <c r="Y24" s="37"/>
    </row>
    <row r="25" spans="1:27" s="27" customFormat="1">
      <c r="A25" s="53" t="s">
        <v>54</v>
      </c>
      <c r="C25" s="37">
        <f>Raw!C24</f>
        <v>0</v>
      </c>
      <c r="D25" s="37">
        <f>Raw!D24</f>
        <v>0</v>
      </c>
      <c r="E25" s="37">
        <f>Raw!E24</f>
        <v>0</v>
      </c>
      <c r="F25" s="37">
        <f>Raw!F24</f>
        <v>0</v>
      </c>
      <c r="G25" s="37">
        <f>Raw!G24</f>
        <v>0</v>
      </c>
      <c r="I25" s="49">
        <f>AVERAGE(E24:H24)</f>
        <v>7.4004392500155225E-2</v>
      </c>
      <c r="J25" s="84"/>
      <c r="K25" s="84"/>
      <c r="L25" s="49">
        <f>I25</f>
        <v>7.4004392500155225E-2</v>
      </c>
      <c r="M25" s="38"/>
      <c r="N25" s="38"/>
      <c r="O25" s="38"/>
      <c r="P25" s="38"/>
      <c r="Q25" s="37"/>
      <c r="R25" s="37"/>
      <c r="S25" s="37"/>
      <c r="T25" s="37"/>
      <c r="U25" s="37"/>
      <c r="V25" s="37"/>
      <c r="W25" s="37"/>
      <c r="X25" s="37"/>
      <c r="Y25" s="37"/>
    </row>
    <row r="26" spans="1:27" s="27" customFormat="1">
      <c r="A26" s="39"/>
      <c r="C26" s="37"/>
      <c r="D26" s="37"/>
      <c r="E26" s="37"/>
      <c r="F26" s="37"/>
      <c r="G26" s="37"/>
      <c r="H26" s="37"/>
      <c r="I26" s="37"/>
      <c r="J26" s="84"/>
      <c r="K26" s="84"/>
      <c r="L26" s="38"/>
      <c r="M26" s="38"/>
      <c r="N26" s="38"/>
      <c r="O26" s="38"/>
      <c r="P26" s="38"/>
      <c r="Q26" s="37"/>
      <c r="R26" s="37"/>
      <c r="S26" s="37"/>
      <c r="T26" s="37"/>
      <c r="U26" s="37"/>
      <c r="V26" s="37"/>
      <c r="W26" s="37"/>
      <c r="X26" s="37"/>
      <c r="Y26" s="37"/>
    </row>
    <row r="27" spans="1:27" s="28" customFormat="1">
      <c r="A27" s="40" t="s">
        <v>16</v>
      </c>
      <c r="C27" s="41">
        <f>C6+C10+C14+C18+C23</f>
        <v>137351</v>
      </c>
      <c r="D27" s="41">
        <f t="shared" ref="D27:P27" si="5">D6+D10+D14+D18+D23</f>
        <v>122603</v>
      </c>
      <c r="E27" s="41">
        <f t="shared" si="5"/>
        <v>127109</v>
      </c>
      <c r="F27" s="41">
        <f t="shared" si="5"/>
        <v>156843</v>
      </c>
      <c r="G27" s="41">
        <f t="shared" si="5"/>
        <v>171994</v>
      </c>
      <c r="H27" s="41">
        <f t="shared" si="5"/>
        <v>187737</v>
      </c>
      <c r="I27" s="256"/>
      <c r="J27" s="85"/>
      <c r="K27" s="259"/>
      <c r="L27" s="41">
        <f t="shared" si="5"/>
        <v>210089.25255746857</v>
      </c>
      <c r="M27" s="41">
        <f t="shared" si="5"/>
        <v>235308.97092096193</v>
      </c>
      <c r="N27" s="41">
        <f t="shared" si="5"/>
        <v>263779.45408091281</v>
      </c>
      <c r="O27" s="41">
        <f t="shared" si="5"/>
        <v>295937.90144090675</v>
      </c>
      <c r="P27" s="41">
        <f t="shared" si="5"/>
        <v>332283.82254443411</v>
      </c>
      <c r="Q27" s="45"/>
      <c r="R27" s="45"/>
      <c r="S27" s="45"/>
      <c r="T27" s="45"/>
      <c r="U27" s="45"/>
      <c r="V27" s="45"/>
      <c r="W27" s="45"/>
      <c r="X27" s="45"/>
      <c r="Y27" s="45"/>
    </row>
    <row r="28" spans="1:27">
      <c r="L28" s="34"/>
      <c r="M28" s="34"/>
      <c r="N28" s="34"/>
      <c r="O28" s="34"/>
      <c r="P28" s="34"/>
    </row>
    <row r="29" spans="1:27" ht="18" customHeight="1">
      <c r="A29" s="35" t="s">
        <v>17</v>
      </c>
      <c r="C29" s="42">
        <f>Raw!C12</f>
        <v>-114</v>
      </c>
      <c r="D29" s="42">
        <f>Raw!D12</f>
        <v>-118</v>
      </c>
      <c r="E29" s="42">
        <f>Raw!E12</f>
        <v>-105</v>
      </c>
      <c r="F29" s="42">
        <f>Raw!F12</f>
        <v>-107</v>
      </c>
      <c r="G29" s="42">
        <f>Raw!G12</f>
        <v>-151</v>
      </c>
      <c r="H29" s="42">
        <f>Raw!H12</f>
        <v>-296</v>
      </c>
      <c r="I29" s="42"/>
      <c r="J29" s="42"/>
      <c r="K29" s="42"/>
      <c r="L29" s="260">
        <f>H29*(1+$L$30)</f>
        <v>-295.70674651758981</v>
      </c>
      <c r="M29" s="260">
        <f>L29*(1+$L$30)</f>
        <v>-295.41378356762874</v>
      </c>
      <c r="N29" s="260">
        <f t="shared" ref="N29:P29" si="6">M29*(1+$L$30)</f>
        <v>-295.1211108622802</v>
      </c>
      <c r="O29" s="260">
        <f t="shared" si="6"/>
        <v>-294.82872811399261</v>
      </c>
      <c r="P29" s="260">
        <f t="shared" si="6"/>
        <v>-294.53663503549939</v>
      </c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 spans="1:27" s="27" customFormat="1">
      <c r="A30" s="39" t="s">
        <v>18</v>
      </c>
      <c r="C30" s="92">
        <f t="shared" ref="C30:H30" si="7">C29/C27</f>
        <v>-8.2999031677963753E-4</v>
      </c>
      <c r="D30" s="92">
        <f t="shared" si="7"/>
        <v>-9.6245605735585584E-4</v>
      </c>
      <c r="E30" s="92">
        <f t="shared" si="7"/>
        <v>-8.2606267062127782E-4</v>
      </c>
      <c r="F30" s="92">
        <f t="shared" si="7"/>
        <v>-6.8221087329367581E-4</v>
      </c>
      <c r="G30" s="92">
        <f t="shared" si="7"/>
        <v>-8.7793760247450493E-4</v>
      </c>
      <c r="H30" s="92">
        <f t="shared" si="7"/>
        <v>-1.5766737510453453E-3</v>
      </c>
      <c r="I30" s="258">
        <f>AVERAGE(E30:H30)</f>
        <v>-9.9072122435870085E-4</v>
      </c>
      <c r="J30"/>
      <c r="K30"/>
      <c r="L30" s="258">
        <f>I30</f>
        <v>-9.9072122435870085E-4</v>
      </c>
      <c r="M30" s="46"/>
      <c r="N30" s="46"/>
      <c r="O30" s="46"/>
      <c r="P30" s="46"/>
    </row>
    <row r="31" spans="1:27">
      <c r="J31" s="50"/>
      <c r="K31" s="50"/>
      <c r="L31" s="34"/>
      <c r="M31" s="34"/>
      <c r="N31" s="34"/>
      <c r="O31" s="34"/>
      <c r="P31" s="34"/>
    </row>
    <row r="32" spans="1:27" s="1" customFormat="1" ht="15.75" thickBot="1">
      <c r="A32" s="43" t="s">
        <v>19</v>
      </c>
      <c r="C32" s="44">
        <f>C27+C29</f>
        <v>137237</v>
      </c>
      <c r="D32" s="44">
        <f t="shared" ref="D32:P32" si="8">D27+D29</f>
        <v>122485</v>
      </c>
      <c r="E32" s="44">
        <f t="shared" si="8"/>
        <v>127004</v>
      </c>
      <c r="F32" s="44">
        <f t="shared" si="8"/>
        <v>156736</v>
      </c>
      <c r="G32" s="44">
        <f t="shared" si="8"/>
        <v>171843</v>
      </c>
      <c r="H32" s="44">
        <f t="shared" si="8"/>
        <v>187441</v>
      </c>
      <c r="I32" s="257"/>
      <c r="J32"/>
      <c r="K32"/>
      <c r="L32" s="44">
        <f t="shared" si="8"/>
        <v>209793.54581095098</v>
      </c>
      <c r="M32" s="44">
        <f t="shared" si="8"/>
        <v>235013.55713739429</v>
      </c>
      <c r="N32" s="44">
        <f t="shared" si="8"/>
        <v>263484.33297005051</v>
      </c>
      <c r="O32" s="44">
        <f t="shared" si="8"/>
        <v>295643.07271279278</v>
      </c>
      <c r="P32" s="44">
        <f t="shared" si="8"/>
        <v>331989.28590939863</v>
      </c>
    </row>
    <row r="33" spans="10:11" ht="15.75" thickTop="1"/>
    <row r="34" spans="10:11">
      <c r="J34" s="50"/>
      <c r="K34" s="50"/>
    </row>
  </sheetData>
  <phoneticPr fontId="5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2"/>
  <sheetViews>
    <sheetView zoomScale="85" zoomScaleNormal="85" workbookViewId="0">
      <selection activeCell="S25" sqref="S25"/>
    </sheetView>
  </sheetViews>
  <sheetFormatPr defaultColWidth="9" defaultRowHeight="15"/>
  <cols>
    <col min="1" max="1" width="36.5703125" customWidth="1"/>
    <col min="2" max="2" width="13.5703125" bestFit="1" customWidth="1"/>
    <col min="3" max="3" width="14.28515625" bestFit="1" customWidth="1"/>
    <col min="4" max="4" width="13.5703125" bestFit="1" customWidth="1"/>
    <col min="5" max="5" width="14.28515625" bestFit="1" customWidth="1"/>
    <col min="6" max="6" width="14.28515625" customWidth="1"/>
    <col min="7" max="10" width="14.28515625" bestFit="1" customWidth="1"/>
    <col min="11" max="12" width="14.28515625" customWidth="1"/>
  </cols>
  <sheetData>
    <row r="1" spans="1:12">
      <c r="A1" s="2" t="s">
        <v>613</v>
      </c>
      <c r="B1" s="2"/>
      <c r="C1" s="2"/>
      <c r="D1" s="2"/>
      <c r="E1" s="14"/>
      <c r="F1" s="14"/>
      <c r="G1" s="14"/>
      <c r="H1" s="23"/>
      <c r="I1" s="23"/>
      <c r="J1" s="23"/>
      <c r="K1" s="23"/>
      <c r="L1" s="23"/>
    </row>
    <row r="2" spans="1:12">
      <c r="A2" s="3" t="s">
        <v>20</v>
      </c>
      <c r="B2" s="14"/>
      <c r="C2" s="14"/>
      <c r="D2" s="14"/>
      <c r="E2" s="14"/>
      <c r="F2" s="14"/>
      <c r="G2" s="106"/>
      <c r="H2" s="23"/>
      <c r="I2" s="23"/>
      <c r="J2" s="23"/>
      <c r="K2" s="23"/>
      <c r="L2" s="23"/>
    </row>
    <row r="3" spans="1:12">
      <c r="A3" s="2" t="s">
        <v>21</v>
      </c>
      <c r="B3" s="4">
        <v>12</v>
      </c>
      <c r="C3" s="4">
        <v>12</v>
      </c>
      <c r="D3" s="4">
        <v>12</v>
      </c>
      <c r="E3" s="4">
        <v>12</v>
      </c>
      <c r="F3" s="4">
        <v>12</v>
      </c>
      <c r="G3" s="4">
        <v>12</v>
      </c>
      <c r="H3" s="12">
        <v>12</v>
      </c>
      <c r="I3" s="12">
        <v>12</v>
      </c>
      <c r="J3" s="12">
        <v>12</v>
      </c>
      <c r="K3" s="12">
        <v>12</v>
      </c>
      <c r="L3" s="12">
        <v>12</v>
      </c>
    </row>
    <row r="4" spans="1:12">
      <c r="A4" s="5"/>
      <c r="B4" s="107">
        <v>43830</v>
      </c>
      <c r="C4" s="107">
        <v>44196</v>
      </c>
      <c r="D4" s="107">
        <v>44561</v>
      </c>
      <c r="E4" s="107">
        <v>44926</v>
      </c>
      <c r="F4" s="107">
        <v>45291</v>
      </c>
      <c r="G4" s="107">
        <v>45657</v>
      </c>
      <c r="H4" s="108">
        <v>46022</v>
      </c>
      <c r="I4" s="108">
        <v>46387</v>
      </c>
      <c r="J4" s="108">
        <v>46752</v>
      </c>
      <c r="K4" s="108">
        <v>47118</v>
      </c>
      <c r="L4" s="108">
        <v>47483</v>
      </c>
    </row>
    <row r="5" spans="1:12">
      <c r="A5" s="273"/>
      <c r="B5" s="274"/>
      <c r="C5" s="274"/>
      <c r="D5" s="274"/>
      <c r="E5" s="274"/>
      <c r="F5" s="274"/>
      <c r="G5" s="274"/>
      <c r="H5" s="16"/>
      <c r="I5" s="16"/>
      <c r="J5" s="16"/>
      <c r="K5" s="16"/>
      <c r="L5" s="16"/>
    </row>
    <row r="6" spans="1:12" s="1" customFormat="1">
      <c r="A6" s="275" t="s">
        <v>22</v>
      </c>
      <c r="B6" s="276">
        <f>Raw!C33</f>
        <v>137237</v>
      </c>
      <c r="C6" s="276">
        <f>Raw!D33</f>
        <v>122485</v>
      </c>
      <c r="D6" s="276">
        <f>Raw!E33</f>
        <v>127004</v>
      </c>
      <c r="E6" s="276">
        <f>Raw!F33</f>
        <v>156735</v>
      </c>
      <c r="F6" s="276">
        <f>Raw!G33</f>
        <v>171842</v>
      </c>
      <c r="G6" s="276">
        <f>Raw!H33</f>
        <v>187442</v>
      </c>
      <c r="H6" s="20"/>
      <c r="I6" s="20"/>
      <c r="J6" s="20"/>
      <c r="K6" s="20"/>
      <c r="L6" s="20"/>
    </row>
    <row r="7" spans="1:12" s="59" customFormat="1">
      <c r="A7" s="277" t="s">
        <v>42</v>
      </c>
      <c r="B7" s="278"/>
      <c r="C7" s="278"/>
      <c r="D7" s="278"/>
      <c r="E7" s="278"/>
      <c r="F7" s="278"/>
      <c r="G7" s="278"/>
      <c r="H7" s="20"/>
      <c r="I7" s="20"/>
      <c r="J7" s="20"/>
      <c r="K7" s="20"/>
      <c r="L7" s="20"/>
    </row>
    <row r="8" spans="1:12" s="1" customFormat="1" ht="30">
      <c r="A8" s="279" t="s">
        <v>64</v>
      </c>
      <c r="B8" s="280">
        <f>B6</f>
        <v>137237</v>
      </c>
      <c r="C8" s="280">
        <f t="shared" ref="C8:G8" si="0">C6</f>
        <v>122485</v>
      </c>
      <c r="D8" s="280">
        <f t="shared" si="0"/>
        <v>127004</v>
      </c>
      <c r="E8" s="280">
        <f t="shared" si="0"/>
        <v>156735</v>
      </c>
      <c r="F8" s="280">
        <f t="shared" si="0"/>
        <v>171842</v>
      </c>
      <c r="G8" s="280">
        <f t="shared" si="0"/>
        <v>187442</v>
      </c>
      <c r="H8" s="20">
        <f>'Revenue Segments'!L32</f>
        <v>209793.54581095098</v>
      </c>
      <c r="I8" s="20">
        <f>'Revenue Segments'!M32</f>
        <v>235013.55713739429</v>
      </c>
      <c r="J8" s="20">
        <f>'Revenue Segments'!N32</f>
        <v>263484.33297005051</v>
      </c>
      <c r="K8" s="20">
        <f>'Revenue Segments'!O32</f>
        <v>295643.07271279278</v>
      </c>
      <c r="L8" s="20">
        <f>'Revenue Segments'!P32</f>
        <v>331989.28590939863</v>
      </c>
    </row>
    <row r="9" spans="1:12" s="22" customFormat="1" ht="18" customHeight="1">
      <c r="A9" s="275" t="s">
        <v>23</v>
      </c>
      <c r="B9" s="281">
        <f>Raw!C38</f>
        <v>123265</v>
      </c>
      <c r="C9" s="281">
        <f>Raw!D38</f>
        <v>108813</v>
      </c>
      <c r="D9" s="281">
        <f>Raw!E38</f>
        <v>109126</v>
      </c>
      <c r="E9" s="281">
        <f>Raw!F38</f>
        <v>135754</v>
      </c>
      <c r="F9" s="281">
        <f>Raw!G38</f>
        <v>152704</v>
      </c>
      <c r="G9" s="281">
        <f>Raw!H38</f>
        <v>164037</v>
      </c>
      <c r="H9" s="20"/>
      <c r="I9" s="20"/>
      <c r="J9" s="20"/>
      <c r="K9" s="20"/>
      <c r="L9" s="20"/>
    </row>
    <row r="10" spans="1:12" s="28" customFormat="1" ht="18.75">
      <c r="A10" s="282" t="s">
        <v>24</v>
      </c>
      <c r="B10" s="278"/>
      <c r="C10" s="788"/>
      <c r="D10" s="788"/>
      <c r="E10" s="788"/>
      <c r="F10" s="788"/>
      <c r="G10" s="278"/>
      <c r="H10" s="20"/>
      <c r="I10" s="20"/>
      <c r="J10" s="20"/>
      <c r="K10" s="20"/>
      <c r="L10" s="20"/>
    </row>
    <row r="11" spans="1:12" s="1" customFormat="1" ht="30">
      <c r="A11" s="279" t="s">
        <v>66</v>
      </c>
      <c r="B11" s="280">
        <f>B9</f>
        <v>123265</v>
      </c>
      <c r="C11" s="280">
        <f t="shared" ref="C11:G11" si="1">C9</f>
        <v>108813</v>
      </c>
      <c r="D11" s="280">
        <f t="shared" si="1"/>
        <v>109126</v>
      </c>
      <c r="E11" s="280">
        <f t="shared" si="1"/>
        <v>135754</v>
      </c>
      <c r="F11" s="280">
        <f t="shared" si="1"/>
        <v>152704</v>
      </c>
      <c r="G11" s="280">
        <f t="shared" si="1"/>
        <v>164037</v>
      </c>
      <c r="H11" s="20"/>
      <c r="I11" s="20"/>
      <c r="J11" s="20"/>
      <c r="K11" s="20"/>
      <c r="L11" s="20"/>
    </row>
    <row r="12" spans="1:12">
      <c r="A12" s="283" t="s">
        <v>59</v>
      </c>
      <c r="B12" s="284">
        <f>Raw!C83</f>
        <v>14014</v>
      </c>
      <c r="C12" s="284">
        <f>Raw!D83</f>
        <v>12651</v>
      </c>
      <c r="D12" s="284">
        <f>Raw!E83</f>
        <v>12026</v>
      </c>
      <c r="E12" s="284">
        <f>Raw!F83</f>
        <v>11255</v>
      </c>
      <c r="F12" s="284">
        <f>Raw!G83</f>
        <v>11716</v>
      </c>
      <c r="G12" s="284">
        <f>Raw!H83</f>
        <v>11376</v>
      </c>
      <c r="H12" s="20"/>
      <c r="I12" s="20"/>
      <c r="J12" s="20"/>
      <c r="K12" s="20"/>
      <c r="L12" s="20"/>
    </row>
    <row r="13" spans="1:12" s="1" customFormat="1" ht="30">
      <c r="A13" s="279" t="s">
        <v>68</v>
      </c>
      <c r="B13" s="280">
        <f t="shared" ref="B13:G13" si="2">B11-B12</f>
        <v>109251</v>
      </c>
      <c r="C13" s="280">
        <f t="shared" si="2"/>
        <v>96162</v>
      </c>
      <c r="D13" s="280">
        <f t="shared" si="2"/>
        <v>97100</v>
      </c>
      <c r="E13" s="280">
        <f t="shared" si="2"/>
        <v>124499</v>
      </c>
      <c r="F13" s="280">
        <f t="shared" si="2"/>
        <v>140988</v>
      </c>
      <c r="G13" s="280">
        <f t="shared" si="2"/>
        <v>152661</v>
      </c>
      <c r="H13" s="20">
        <f>H8*$H$87</f>
        <v>167507.88045725727</v>
      </c>
      <c r="I13" s="20">
        <f>I8*$H$87</f>
        <v>187644.58497822174</v>
      </c>
      <c r="J13" s="20">
        <f>J8*$H$87</f>
        <v>210376.83489690826</v>
      </c>
      <c r="K13" s="20">
        <f>K8*$H$87</f>
        <v>236053.70837583553</v>
      </c>
      <c r="L13" s="20">
        <f>L8*$H$87</f>
        <v>265074.03458118648</v>
      </c>
    </row>
    <row r="14" spans="1:12">
      <c r="A14" s="283"/>
      <c r="B14" s="284"/>
      <c r="C14" s="284"/>
      <c r="D14" s="284"/>
      <c r="E14" s="284"/>
      <c r="F14" s="284"/>
      <c r="G14" s="284"/>
      <c r="H14" s="16"/>
      <c r="I14" s="16"/>
      <c r="J14" s="16"/>
      <c r="K14" s="16"/>
      <c r="L14" s="16"/>
    </row>
    <row r="15" spans="1:12" s="1" customFormat="1">
      <c r="A15" s="275" t="s">
        <v>84</v>
      </c>
      <c r="B15" s="285">
        <f t="shared" ref="B15:G15" si="3">B6-B9</f>
        <v>13972</v>
      </c>
      <c r="C15" s="285">
        <f t="shared" si="3"/>
        <v>13672</v>
      </c>
      <c r="D15" s="285">
        <f t="shared" si="3"/>
        <v>17878</v>
      </c>
      <c r="E15" s="285">
        <f t="shared" si="3"/>
        <v>20981</v>
      </c>
      <c r="F15" s="285">
        <f t="shared" si="3"/>
        <v>19138</v>
      </c>
      <c r="G15" s="285">
        <f t="shared" si="3"/>
        <v>23405</v>
      </c>
      <c r="H15" s="71"/>
      <c r="I15" s="71"/>
      <c r="J15" s="71"/>
      <c r="K15" s="71"/>
      <c r="L15" s="71"/>
    </row>
    <row r="16" spans="1:12" s="1" customFormat="1">
      <c r="A16" s="279" t="s">
        <v>67</v>
      </c>
      <c r="B16" s="286">
        <f t="shared" ref="B16:L16" si="4">B8-B13</f>
        <v>27986</v>
      </c>
      <c r="C16" s="286">
        <f t="shared" si="4"/>
        <v>26323</v>
      </c>
      <c r="D16" s="286">
        <f t="shared" si="4"/>
        <v>29904</v>
      </c>
      <c r="E16" s="286">
        <f t="shared" si="4"/>
        <v>32236</v>
      </c>
      <c r="F16" s="286">
        <f t="shared" si="4"/>
        <v>30854</v>
      </c>
      <c r="G16" s="286">
        <f t="shared" si="4"/>
        <v>34781</v>
      </c>
      <c r="H16" s="19">
        <f t="shared" si="4"/>
        <v>42285.665353693708</v>
      </c>
      <c r="I16" s="19">
        <f t="shared" si="4"/>
        <v>47368.972159172554</v>
      </c>
      <c r="J16" s="19">
        <f t="shared" si="4"/>
        <v>53107.498073142255</v>
      </c>
      <c r="K16" s="19">
        <f t="shared" si="4"/>
        <v>59589.364336957253</v>
      </c>
      <c r="L16" s="19">
        <f t="shared" si="4"/>
        <v>66915.251328212151</v>
      </c>
    </row>
    <row r="17" spans="1:18" s="1" customFormat="1">
      <c r="A17" s="287"/>
      <c r="B17" s="288"/>
      <c r="C17" s="288"/>
      <c r="D17" s="288"/>
      <c r="E17" s="288"/>
      <c r="F17" s="288"/>
      <c r="G17" s="288"/>
      <c r="H17" s="19"/>
      <c r="I17" s="19"/>
      <c r="J17" s="19"/>
      <c r="K17" s="19"/>
      <c r="L17" s="19"/>
    </row>
    <row r="18" spans="1:18" s="21" customFormat="1" ht="30">
      <c r="A18" s="275" t="s">
        <v>25</v>
      </c>
      <c r="B18" s="289">
        <f>Raw!C40</f>
        <v>8491</v>
      </c>
      <c r="C18" s="289">
        <f>Raw!D40</f>
        <v>7038</v>
      </c>
      <c r="D18" s="289">
        <f>Raw!E40</f>
        <v>8554</v>
      </c>
      <c r="E18" s="289">
        <f>Raw!F40</f>
        <v>10667</v>
      </c>
      <c r="F18" s="289">
        <f>Raw!G40</f>
        <v>9840</v>
      </c>
      <c r="G18" s="289">
        <f>Raw!H40</f>
        <v>10621</v>
      </c>
      <c r="H18" s="63"/>
      <c r="I18" s="63"/>
      <c r="J18" s="63"/>
      <c r="K18" s="63"/>
      <c r="L18" s="63"/>
    </row>
    <row r="19" spans="1:18" s="59" customFormat="1">
      <c r="A19" s="282" t="s">
        <v>24</v>
      </c>
      <c r="B19" s="278"/>
      <c r="C19" s="278"/>
      <c r="D19" s="278"/>
      <c r="E19" s="278"/>
      <c r="F19" s="278"/>
      <c r="G19" s="278"/>
      <c r="H19" s="64"/>
      <c r="I19" s="64"/>
      <c r="J19" s="64"/>
      <c r="K19" s="64"/>
      <c r="L19" s="64"/>
    </row>
    <row r="20" spans="1:18" s="1" customFormat="1" ht="30">
      <c r="A20" s="279" t="s">
        <v>86</v>
      </c>
      <c r="B20" s="286">
        <f>B18</f>
        <v>8491</v>
      </c>
      <c r="C20" s="286">
        <f t="shared" ref="C20:G20" si="5">C18</f>
        <v>7038</v>
      </c>
      <c r="D20" s="286">
        <f t="shared" si="5"/>
        <v>8554</v>
      </c>
      <c r="E20" s="286">
        <f t="shared" si="5"/>
        <v>10667</v>
      </c>
      <c r="F20" s="286">
        <f t="shared" si="5"/>
        <v>9840</v>
      </c>
      <c r="G20" s="286">
        <f t="shared" si="5"/>
        <v>10621</v>
      </c>
      <c r="H20" s="65"/>
      <c r="I20" s="65"/>
      <c r="J20" s="65"/>
      <c r="K20" s="65"/>
      <c r="L20" s="65"/>
    </row>
    <row r="21" spans="1:18">
      <c r="A21" s="290" t="s">
        <v>26</v>
      </c>
      <c r="B21" s="284">
        <f>Raw!C81</f>
        <v>202</v>
      </c>
      <c r="C21" s="284">
        <f>Raw!D81</f>
        <v>144</v>
      </c>
      <c r="D21" s="284">
        <f>Raw!E81</f>
        <v>141</v>
      </c>
      <c r="E21" s="284">
        <f>Raw!F81</f>
        <v>139</v>
      </c>
      <c r="F21" s="284">
        <f>Raw!G81</f>
        <v>114</v>
      </c>
      <c r="G21" s="284">
        <f>Raw!H81</f>
        <v>146</v>
      </c>
      <c r="H21" s="18"/>
      <c r="I21" s="18"/>
      <c r="J21" s="18"/>
      <c r="K21" s="18"/>
      <c r="L21" s="18"/>
    </row>
    <row r="22" spans="1:18">
      <c r="A22" s="290" t="s">
        <v>69</v>
      </c>
      <c r="B22" s="284">
        <f>Raw!C82</f>
        <v>-156</v>
      </c>
      <c r="C22" s="284">
        <f>Raw!D82</f>
        <v>-119</v>
      </c>
      <c r="D22" s="284">
        <f>Raw!E82</f>
        <v>-120</v>
      </c>
      <c r="E22" s="284">
        <f>Raw!F82</f>
        <v>-118</v>
      </c>
      <c r="F22" s="284">
        <f>Raw!G82</f>
        <v>-93</v>
      </c>
      <c r="G22" s="284">
        <f>Raw!H82</f>
        <v>-66</v>
      </c>
      <c r="H22" s="18"/>
      <c r="I22" s="18"/>
      <c r="J22" s="18"/>
      <c r="K22" s="18"/>
      <c r="L22" s="18"/>
    </row>
    <row r="23" spans="1:18" ht="15.75" customHeight="1">
      <c r="A23" s="279" t="s">
        <v>87</v>
      </c>
      <c r="B23" s="286">
        <f t="shared" ref="B23:G23" si="6">B20-B21-B22</f>
        <v>8445</v>
      </c>
      <c r="C23" s="286">
        <f t="shared" si="6"/>
        <v>7013</v>
      </c>
      <c r="D23" s="286">
        <f t="shared" si="6"/>
        <v>8533</v>
      </c>
      <c r="E23" s="286">
        <f t="shared" si="6"/>
        <v>10646</v>
      </c>
      <c r="F23" s="286">
        <f t="shared" si="6"/>
        <v>9819</v>
      </c>
      <c r="G23" s="286">
        <f t="shared" si="6"/>
        <v>10541</v>
      </c>
      <c r="H23" s="20">
        <f>H8*$H$88</f>
        <v>13032.699509390286</v>
      </c>
      <c r="I23" s="20">
        <f>I8*$H$88</f>
        <v>14599.405615483462</v>
      </c>
      <c r="J23" s="20">
        <f>J8*$H$88</f>
        <v>16368.05423997728</v>
      </c>
      <c r="K23" s="20">
        <f>K8*$H$88</f>
        <v>18365.804885964837</v>
      </c>
      <c r="L23" s="20">
        <f>L8*$H$88</f>
        <v>20623.687858792087</v>
      </c>
    </row>
    <row r="24" spans="1:18">
      <c r="A24" s="283"/>
      <c r="B24" s="284"/>
      <c r="C24" s="284"/>
      <c r="D24" s="284"/>
      <c r="E24" s="284"/>
      <c r="F24" s="284"/>
      <c r="G24" s="284"/>
      <c r="H24" s="16"/>
      <c r="I24" s="16"/>
      <c r="J24" s="16"/>
      <c r="K24" s="16"/>
      <c r="L24" s="16"/>
    </row>
    <row r="25" spans="1:18" s="21" customFormat="1" ht="30">
      <c r="A25" s="275" t="s">
        <v>27</v>
      </c>
      <c r="B25" s="289">
        <v>0</v>
      </c>
      <c r="C25" s="289">
        <v>0</v>
      </c>
      <c r="D25" s="289">
        <v>0</v>
      </c>
      <c r="E25" s="289">
        <v>0</v>
      </c>
      <c r="F25" s="289">
        <v>0</v>
      </c>
      <c r="G25" s="289">
        <v>0</v>
      </c>
      <c r="H25" s="63"/>
      <c r="I25" s="63"/>
      <c r="J25" s="63"/>
      <c r="K25" s="63"/>
      <c r="L25" s="63"/>
    </row>
    <row r="26" spans="1:18" s="21" customFormat="1">
      <c r="A26" s="282" t="s">
        <v>24</v>
      </c>
      <c r="B26" s="278"/>
      <c r="C26" s="278"/>
      <c r="D26" s="278"/>
      <c r="E26" s="278"/>
      <c r="F26" s="278"/>
      <c r="G26" s="278"/>
      <c r="H26" s="63"/>
      <c r="I26" s="63"/>
      <c r="J26" s="63"/>
      <c r="K26" s="63"/>
      <c r="L26" s="63"/>
    </row>
    <row r="27" spans="1:18" s="21" customFormat="1" ht="30">
      <c r="A27" s="279" t="s">
        <v>88</v>
      </c>
      <c r="B27" s="291">
        <v>0</v>
      </c>
      <c r="C27" s="291">
        <v>0</v>
      </c>
      <c r="D27" s="291">
        <v>0</v>
      </c>
      <c r="E27" s="291">
        <v>0</v>
      </c>
      <c r="F27" s="291">
        <v>0</v>
      </c>
      <c r="G27" s="291">
        <v>0</v>
      </c>
      <c r="H27" s="314">
        <f>G27</f>
        <v>0</v>
      </c>
      <c r="I27" s="314">
        <f t="shared" ref="I27:L27" si="7">H27</f>
        <v>0</v>
      </c>
      <c r="J27" s="314">
        <f t="shared" si="7"/>
        <v>0</v>
      </c>
      <c r="K27" s="314">
        <f t="shared" si="7"/>
        <v>0</v>
      </c>
      <c r="L27" s="314">
        <f t="shared" si="7"/>
        <v>0</v>
      </c>
    </row>
    <row r="28" spans="1:18" s="21" customFormat="1">
      <c r="A28" s="313" t="s">
        <v>275</v>
      </c>
      <c r="B28" s="716">
        <v>-2912</v>
      </c>
      <c r="C28" s="716">
        <v>-3076</v>
      </c>
      <c r="D28" s="716">
        <v>-4971</v>
      </c>
      <c r="E28" s="716">
        <v>-4160</v>
      </c>
      <c r="F28" s="716">
        <v>-3059</v>
      </c>
      <c r="G28" s="716">
        <v>-2150</v>
      </c>
      <c r="H28" s="63"/>
      <c r="I28" s="63"/>
      <c r="J28" s="63"/>
      <c r="K28" s="63"/>
      <c r="L28" s="63"/>
    </row>
    <row r="29" spans="1:18">
      <c r="A29" s="279"/>
      <c r="B29" s="284"/>
      <c r="C29" s="284"/>
      <c r="D29" s="284"/>
      <c r="E29" s="284"/>
      <c r="F29" s="284"/>
      <c r="G29" s="284"/>
      <c r="H29" s="74"/>
      <c r="I29" s="74"/>
      <c r="J29" s="74"/>
      <c r="K29" s="74"/>
      <c r="L29" s="74"/>
    </row>
    <row r="30" spans="1:18">
      <c r="A30" s="279" t="s">
        <v>89</v>
      </c>
      <c r="B30" s="292">
        <f t="shared" ref="B30:G30" si="8">B16-B23-B28</f>
        <v>22453</v>
      </c>
      <c r="C30" s="292">
        <f t="shared" si="8"/>
        <v>22386</v>
      </c>
      <c r="D30" s="292">
        <f t="shared" si="8"/>
        <v>26342</v>
      </c>
      <c r="E30" s="292">
        <f t="shared" si="8"/>
        <v>25750</v>
      </c>
      <c r="F30" s="292">
        <f t="shared" si="8"/>
        <v>24094</v>
      </c>
      <c r="G30" s="292">
        <f t="shared" si="8"/>
        <v>26390</v>
      </c>
      <c r="H30" s="19">
        <f>H16-H23-H27</f>
        <v>29252.96584430342</v>
      </c>
      <c r="I30" s="19">
        <f>I16-I23-I27</f>
        <v>32769.566543689092</v>
      </c>
      <c r="J30" s="19">
        <f>J16-J23-J27</f>
        <v>36739.443833164973</v>
      </c>
      <c r="K30" s="19">
        <f>K16-K23-K27</f>
        <v>41223.559450992412</v>
      </c>
      <c r="L30" s="19">
        <f>L16-L23-L27</f>
        <v>46291.563469420063</v>
      </c>
      <c r="M30" s="308"/>
      <c r="N30" s="308"/>
      <c r="O30" s="308"/>
      <c r="P30" s="308"/>
      <c r="Q30" s="308"/>
      <c r="R30" s="308"/>
    </row>
    <row r="31" spans="1:18">
      <c r="A31" s="279"/>
      <c r="B31" s="284"/>
      <c r="C31" s="284"/>
      <c r="D31" s="284"/>
      <c r="E31" s="284"/>
      <c r="F31" s="284"/>
      <c r="G31" s="284"/>
      <c r="H31" s="109"/>
      <c r="I31" s="109"/>
      <c r="J31" s="109"/>
      <c r="K31" s="109"/>
      <c r="L31" s="109"/>
    </row>
    <row r="32" spans="1:18" ht="30">
      <c r="A32" s="283" t="s">
        <v>70</v>
      </c>
      <c r="B32" s="284">
        <f t="shared" ref="B32:G32" si="9">B12+B21+B22</f>
        <v>14060</v>
      </c>
      <c r="C32" s="284">
        <f t="shared" si="9"/>
        <v>12676</v>
      </c>
      <c r="D32" s="284">
        <f t="shared" si="9"/>
        <v>12047</v>
      </c>
      <c r="E32" s="284">
        <f t="shared" si="9"/>
        <v>11276</v>
      </c>
      <c r="F32" s="284">
        <f t="shared" si="9"/>
        <v>11737</v>
      </c>
      <c r="G32" s="284">
        <f t="shared" si="9"/>
        <v>11456</v>
      </c>
      <c r="H32" s="110">
        <f>'Fixed Asset Shedule'!H9+'Fixed Asset Shedule'!H30</f>
        <v>10492.051484953085</v>
      </c>
      <c r="I32" s="110">
        <f>'Fixed Asset Shedule'!I9+'Fixed Asset Shedule'!I30</f>
        <v>11735.360250786751</v>
      </c>
      <c r="J32" s="110">
        <f>'Fixed Asset Shedule'!J9+'Fixed Asset Shedule'!J30</f>
        <v>13139.413037488419</v>
      </c>
      <c r="K32" s="110">
        <f>'Fixed Asset Shedule'!K9+'Fixed Asset Shedule'!K30</f>
        <v>14725.814856061972</v>
      </c>
      <c r="L32" s="110">
        <f>'Fixed Asset Shedule'!L9+'Fixed Asset Shedule'!L30</f>
        <v>16519.250276026523</v>
      </c>
    </row>
    <row r="33" spans="1:18">
      <c r="A33" s="279"/>
      <c r="B33" s="284"/>
      <c r="C33" s="284"/>
      <c r="D33" s="284"/>
      <c r="E33" s="284"/>
      <c r="F33" s="284"/>
      <c r="G33" s="284"/>
      <c r="H33" s="16"/>
      <c r="I33" s="16"/>
      <c r="J33" s="16"/>
      <c r="K33" s="16"/>
      <c r="L33" s="16"/>
    </row>
    <row r="34" spans="1:18" s="1" customFormat="1">
      <c r="A34" s="275" t="s">
        <v>85</v>
      </c>
      <c r="B34" s="285">
        <f t="shared" ref="B34:G34" si="10">B15-B18-B25</f>
        <v>5481</v>
      </c>
      <c r="C34" s="285">
        <f t="shared" si="10"/>
        <v>6634</v>
      </c>
      <c r="D34" s="285">
        <f t="shared" si="10"/>
        <v>9324</v>
      </c>
      <c r="E34" s="285">
        <f t="shared" si="10"/>
        <v>10314</v>
      </c>
      <c r="F34" s="285">
        <f t="shared" si="10"/>
        <v>9298</v>
      </c>
      <c r="G34" s="285">
        <f t="shared" si="10"/>
        <v>12784</v>
      </c>
      <c r="H34" s="72"/>
      <c r="I34" s="72"/>
      <c r="J34" s="72"/>
      <c r="K34" s="72"/>
      <c r="L34" s="72"/>
    </row>
    <row r="35" spans="1:18" s="1" customFormat="1" ht="30">
      <c r="A35" s="279" t="s">
        <v>90</v>
      </c>
      <c r="B35" s="293">
        <f>B30-B32</f>
        <v>8393</v>
      </c>
      <c r="C35" s="293">
        <f t="shared" ref="C35:G35" si="11">C30-C32</f>
        <v>9710</v>
      </c>
      <c r="D35" s="293">
        <f t="shared" si="11"/>
        <v>14295</v>
      </c>
      <c r="E35" s="293">
        <f t="shared" si="11"/>
        <v>14474</v>
      </c>
      <c r="F35" s="293">
        <f t="shared" si="11"/>
        <v>12357</v>
      </c>
      <c r="G35" s="293">
        <f t="shared" si="11"/>
        <v>14934</v>
      </c>
      <c r="H35" s="19">
        <f t="shared" ref="H35:L35" si="12">H30-H32</f>
        <v>18760.914359350336</v>
      </c>
      <c r="I35" s="19">
        <f t="shared" si="12"/>
        <v>21034.206292902341</v>
      </c>
      <c r="J35" s="19">
        <f t="shared" si="12"/>
        <v>23600.030795676554</v>
      </c>
      <c r="K35" s="19">
        <f t="shared" si="12"/>
        <v>26497.744594930438</v>
      </c>
      <c r="L35" s="19">
        <f t="shared" si="12"/>
        <v>29772.31319339354</v>
      </c>
      <c r="M35" s="293"/>
      <c r="N35" s="293"/>
      <c r="O35" s="293"/>
      <c r="P35" s="293"/>
      <c r="Q35" s="293"/>
      <c r="R35" s="293"/>
    </row>
    <row r="36" spans="1:18" s="1" customFormat="1">
      <c r="A36" s="287"/>
      <c r="B36" s="294"/>
      <c r="C36" s="294"/>
      <c r="D36" s="273"/>
      <c r="E36" s="273"/>
      <c r="F36" s="273"/>
      <c r="G36" s="273"/>
      <c r="H36" s="19"/>
      <c r="I36" s="19"/>
      <c r="J36" s="19"/>
      <c r="K36" s="19"/>
      <c r="L36" s="19"/>
    </row>
    <row r="37" spans="1:18">
      <c r="A37" s="275" t="s">
        <v>72</v>
      </c>
      <c r="B37" s="289">
        <f>Raw!C46</f>
        <v>1469</v>
      </c>
      <c r="C37" s="289">
        <f>Raw!D46</f>
        <v>1885</v>
      </c>
      <c r="D37" s="289">
        <f>Raw!E46</f>
        <v>3041</v>
      </c>
      <c r="E37" s="289">
        <f>Raw!F46</f>
        <v>1432</v>
      </c>
      <c r="F37" s="289">
        <f>Raw!G46</f>
        <v>1537</v>
      </c>
      <c r="G37" s="289">
        <f>Raw!H46</f>
        <v>1257</v>
      </c>
      <c r="H37" s="19"/>
      <c r="I37" s="19"/>
      <c r="J37" s="19"/>
      <c r="K37" s="19"/>
      <c r="L37" s="19"/>
    </row>
    <row r="38" spans="1:18">
      <c r="A38" s="282" t="s">
        <v>24</v>
      </c>
      <c r="B38" s="278"/>
      <c r="C38" s="278"/>
      <c r="D38" s="278"/>
      <c r="E38" s="278"/>
      <c r="F38" s="278"/>
      <c r="G38" s="278"/>
      <c r="H38" s="16"/>
      <c r="I38" s="16"/>
      <c r="J38" s="16"/>
      <c r="K38" s="16"/>
      <c r="L38" s="16"/>
    </row>
    <row r="39" spans="1:18" ht="30">
      <c r="A39" s="279" t="s">
        <v>91</v>
      </c>
      <c r="B39" s="293">
        <f>B37</f>
        <v>1469</v>
      </c>
      <c r="C39" s="293">
        <f t="shared" ref="C39:G39" si="13">C37</f>
        <v>1885</v>
      </c>
      <c r="D39" s="293">
        <f t="shared" si="13"/>
        <v>3041</v>
      </c>
      <c r="E39" s="293">
        <f t="shared" si="13"/>
        <v>1432</v>
      </c>
      <c r="F39" s="293">
        <f t="shared" si="13"/>
        <v>1537</v>
      </c>
      <c r="G39" s="293">
        <f t="shared" si="13"/>
        <v>1257</v>
      </c>
      <c r="H39" s="62">
        <f>H8*$H$92</f>
        <v>4767.4545719609978</v>
      </c>
      <c r="I39" s="62">
        <f>I8*$H$92</f>
        <v>5340.566856413765</v>
      </c>
      <c r="J39" s="62">
        <f>J8*$H$92</f>
        <v>5987.5511565551305</v>
      </c>
      <c r="K39" s="62">
        <f>K8*$H$92</f>
        <v>6718.3426126144877</v>
      </c>
      <c r="L39" s="62">
        <f>L8*$H$92</f>
        <v>7544.2923319341317</v>
      </c>
    </row>
    <row r="40" spans="1:18">
      <c r="A40" s="283"/>
      <c r="B40" s="284"/>
      <c r="C40" s="284"/>
      <c r="D40" s="284"/>
      <c r="E40" s="284"/>
      <c r="F40" s="284"/>
      <c r="G40" s="284"/>
      <c r="H40" s="16"/>
      <c r="I40" s="16"/>
      <c r="J40" s="16"/>
      <c r="K40" s="16"/>
      <c r="L40" s="16"/>
    </row>
    <row r="41" spans="1:18">
      <c r="A41" s="275" t="s">
        <v>28</v>
      </c>
      <c r="B41" s="295">
        <f>Raw!C45</f>
        <v>782</v>
      </c>
      <c r="C41" s="295">
        <f>Raw!D45</f>
        <v>1098</v>
      </c>
      <c r="D41" s="295">
        <f>Raw!E45</f>
        <v>950</v>
      </c>
      <c r="E41" s="295">
        <f>Raw!F45</f>
        <v>987</v>
      </c>
      <c r="F41" s="295">
        <f>Raw!G45</f>
        <v>911</v>
      </c>
      <c r="G41" s="295">
        <f>Raw!H45</f>
        <v>846</v>
      </c>
      <c r="H41" s="66"/>
      <c r="I41" s="66"/>
      <c r="J41" s="66"/>
      <c r="K41" s="66"/>
      <c r="L41" s="66"/>
    </row>
    <row r="42" spans="1:18">
      <c r="A42" s="282" t="s">
        <v>24</v>
      </c>
      <c r="B42" s="278"/>
      <c r="C42" s="278"/>
      <c r="D42" s="278"/>
      <c r="E42" s="278"/>
      <c r="F42" s="278"/>
      <c r="G42" s="278"/>
      <c r="H42" s="66"/>
      <c r="I42" s="66"/>
      <c r="J42" s="66"/>
      <c r="K42" s="66"/>
      <c r="L42" s="66"/>
    </row>
    <row r="43" spans="1:18" ht="30">
      <c r="A43" s="279" t="s">
        <v>92</v>
      </c>
      <c r="B43" s="293">
        <f>B41</f>
        <v>782</v>
      </c>
      <c r="C43" s="293">
        <f t="shared" ref="C43:G43" si="14">C41</f>
        <v>1098</v>
      </c>
      <c r="D43" s="293">
        <f t="shared" si="14"/>
        <v>950</v>
      </c>
      <c r="E43" s="293">
        <f t="shared" si="14"/>
        <v>987</v>
      </c>
      <c r="F43" s="293">
        <f t="shared" si="14"/>
        <v>911</v>
      </c>
      <c r="G43" s="293">
        <f t="shared" si="14"/>
        <v>846</v>
      </c>
      <c r="H43" s="111">
        <f>'Debt Shedule'!I14</f>
        <v>7103.0570000000007</v>
      </c>
      <c r="I43" s="111">
        <f>'Debt Shedule'!J14</f>
        <v>6559.0459999999994</v>
      </c>
      <c r="J43" s="111">
        <f>'Debt Shedule'!K14</f>
        <v>6402.7940000000008</v>
      </c>
      <c r="K43" s="111">
        <f>'Debt Shedule'!L14</f>
        <v>6218.6150000000007</v>
      </c>
      <c r="L43" s="111">
        <f>'Debt Shedule'!M14</f>
        <v>5567.9130000000005</v>
      </c>
    </row>
    <row r="44" spans="1:18">
      <c r="A44" s="283"/>
      <c r="B44" s="284"/>
      <c r="C44" s="284"/>
      <c r="D44" s="284"/>
      <c r="E44" s="284"/>
      <c r="F44" s="284"/>
      <c r="G44" s="284"/>
      <c r="H44" s="16"/>
      <c r="I44" s="16"/>
      <c r="J44" s="16"/>
      <c r="K44" s="16"/>
      <c r="L44" s="16"/>
    </row>
    <row r="45" spans="1:18">
      <c r="A45" s="275" t="s">
        <v>29</v>
      </c>
      <c r="B45" s="295">
        <f>Raw!C47</f>
        <v>1268</v>
      </c>
      <c r="C45" s="295">
        <f>Raw!D47</f>
        <v>674</v>
      </c>
      <c r="D45" s="295">
        <f>Raw!E47</f>
        <v>1301</v>
      </c>
      <c r="E45" s="295">
        <f>Raw!F47</f>
        <v>837</v>
      </c>
      <c r="F45" s="295">
        <f>Raw!G47</f>
        <v>480</v>
      </c>
      <c r="G45" s="295">
        <f>Raw!H47</f>
        <v>-4675</v>
      </c>
      <c r="H45" s="66"/>
      <c r="I45" s="66"/>
      <c r="J45" s="66"/>
      <c r="K45" s="66"/>
      <c r="L45" s="66"/>
    </row>
    <row r="46" spans="1:18">
      <c r="A46" s="282" t="s">
        <v>30</v>
      </c>
      <c r="B46" s="278"/>
      <c r="C46" s="278"/>
      <c r="D46" s="278"/>
      <c r="E46" s="278"/>
      <c r="F46" s="278"/>
      <c r="G46" s="278"/>
      <c r="H46" s="66"/>
      <c r="I46" s="66"/>
      <c r="J46" s="66"/>
      <c r="K46" s="66"/>
      <c r="L46" s="66"/>
    </row>
    <row r="47" spans="1:18" ht="15" customHeight="1">
      <c r="A47" s="279" t="s">
        <v>93</v>
      </c>
      <c r="B47" s="293">
        <f>B45</f>
        <v>1268</v>
      </c>
      <c r="C47" s="293">
        <f t="shared" ref="C47:G47" si="15">C45</f>
        <v>674</v>
      </c>
      <c r="D47" s="293">
        <f t="shared" si="15"/>
        <v>1301</v>
      </c>
      <c r="E47" s="293">
        <f t="shared" si="15"/>
        <v>837</v>
      </c>
      <c r="F47" s="293">
        <f t="shared" si="15"/>
        <v>480</v>
      </c>
      <c r="G47" s="293">
        <f t="shared" si="15"/>
        <v>-4675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</row>
    <row r="48" spans="1:18">
      <c r="A48" s="283"/>
      <c r="B48" s="284"/>
      <c r="C48" s="284"/>
      <c r="D48" s="284"/>
      <c r="E48" s="284"/>
      <c r="F48" s="284"/>
      <c r="G48" s="284"/>
      <c r="H48" s="16"/>
      <c r="I48" s="16"/>
      <c r="J48" s="16"/>
      <c r="K48" s="16"/>
      <c r="L48" s="16"/>
    </row>
    <row r="49" spans="1:14">
      <c r="A49" s="275" t="s">
        <v>31</v>
      </c>
      <c r="B49" s="295">
        <f>Raw!C46</f>
        <v>1469</v>
      </c>
      <c r="C49" s="295">
        <f>Raw!D46</f>
        <v>1885</v>
      </c>
      <c r="D49" s="295">
        <f>Raw!E46</f>
        <v>3041</v>
      </c>
      <c r="E49" s="295">
        <f>Raw!F46</f>
        <v>1432</v>
      </c>
      <c r="F49" s="295">
        <f>Raw!G46</f>
        <v>1537</v>
      </c>
      <c r="G49" s="295">
        <f>Raw!H46</f>
        <v>1257</v>
      </c>
      <c r="H49" s="66"/>
      <c r="I49" s="66"/>
      <c r="J49" s="66"/>
      <c r="K49" s="66"/>
      <c r="L49" s="66"/>
      <c r="N49" s="143"/>
    </row>
    <row r="50" spans="1:14">
      <c r="A50" s="282" t="s">
        <v>24</v>
      </c>
      <c r="B50" s="278"/>
      <c r="C50" s="278"/>
      <c r="D50" s="278"/>
      <c r="E50" s="278"/>
      <c r="F50" s="278"/>
      <c r="G50" s="278"/>
      <c r="H50" s="66"/>
      <c r="I50" s="66"/>
      <c r="J50" s="66"/>
      <c r="K50" s="66"/>
      <c r="L50" s="66"/>
    </row>
    <row r="51" spans="1:14" ht="30">
      <c r="A51" s="279" t="s">
        <v>94</v>
      </c>
      <c r="B51" s="293">
        <f>B49</f>
        <v>1469</v>
      </c>
      <c r="C51" s="293">
        <f>C49</f>
        <v>1885</v>
      </c>
      <c r="D51" s="293">
        <f t="shared" ref="D51:G51" si="16">D49</f>
        <v>3041</v>
      </c>
      <c r="E51" s="293">
        <f t="shared" si="16"/>
        <v>1432</v>
      </c>
      <c r="F51" s="293">
        <f t="shared" si="16"/>
        <v>1537</v>
      </c>
      <c r="G51" s="293">
        <f t="shared" si="16"/>
        <v>1257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</row>
    <row r="52" spans="1:14">
      <c r="A52" s="283"/>
      <c r="B52" s="284"/>
      <c r="C52" s="284"/>
      <c r="D52" s="284"/>
      <c r="E52" s="284"/>
      <c r="F52" s="284"/>
      <c r="G52" s="284"/>
      <c r="H52" s="16"/>
      <c r="I52" s="16"/>
      <c r="J52" s="16"/>
      <c r="K52" s="16"/>
      <c r="L52" s="16"/>
    </row>
    <row r="53" spans="1:14" s="1" customFormat="1">
      <c r="A53" s="275" t="s">
        <v>96</v>
      </c>
      <c r="B53" s="285">
        <f t="shared" ref="B53:G53" si="17">B34+B37-B41+B45+B49</f>
        <v>8905</v>
      </c>
      <c r="C53" s="285">
        <f t="shared" si="17"/>
        <v>9980</v>
      </c>
      <c r="D53" s="285">
        <f t="shared" si="17"/>
        <v>15757</v>
      </c>
      <c r="E53" s="285">
        <f t="shared" si="17"/>
        <v>13028</v>
      </c>
      <c r="F53" s="285">
        <f t="shared" si="17"/>
        <v>11941</v>
      </c>
      <c r="G53" s="285">
        <f t="shared" si="17"/>
        <v>9777</v>
      </c>
      <c r="H53" s="72"/>
      <c r="I53" s="72"/>
      <c r="J53" s="72"/>
      <c r="K53" s="72"/>
      <c r="L53" s="72"/>
    </row>
    <row r="54" spans="1:14" s="1" customFormat="1">
      <c r="A54" s="279" t="s">
        <v>95</v>
      </c>
      <c r="B54" s="293">
        <f t="shared" ref="B54:L54" si="18">B35+B39-B43+B47+B51</f>
        <v>11817</v>
      </c>
      <c r="C54" s="293">
        <f t="shared" si="18"/>
        <v>13056</v>
      </c>
      <c r="D54" s="293">
        <f t="shared" si="18"/>
        <v>20728</v>
      </c>
      <c r="E54" s="293">
        <f t="shared" si="18"/>
        <v>17188</v>
      </c>
      <c r="F54" s="293">
        <f t="shared" si="18"/>
        <v>15000</v>
      </c>
      <c r="G54" s="293">
        <f t="shared" si="18"/>
        <v>11927</v>
      </c>
      <c r="H54" s="19">
        <f t="shared" si="18"/>
        <v>16425.311931311335</v>
      </c>
      <c r="I54" s="19">
        <f t="shared" si="18"/>
        <v>19815.727149316106</v>
      </c>
      <c r="J54" s="19">
        <f t="shared" si="18"/>
        <v>23184.787952231683</v>
      </c>
      <c r="K54" s="19">
        <f t="shared" si="18"/>
        <v>26997.472207544928</v>
      </c>
      <c r="L54" s="19">
        <f t="shared" si="18"/>
        <v>31748.692525327671</v>
      </c>
    </row>
    <row r="55" spans="1:14">
      <c r="A55" s="283"/>
      <c r="B55" s="284"/>
      <c r="C55" s="284"/>
      <c r="D55" s="284"/>
      <c r="E55" s="284"/>
      <c r="F55" s="284"/>
      <c r="G55" s="284"/>
      <c r="H55" s="16"/>
      <c r="I55" s="16"/>
      <c r="J55" s="16"/>
      <c r="K55" s="16"/>
      <c r="L55" s="16"/>
    </row>
    <row r="56" spans="1:14">
      <c r="A56" s="275" t="s">
        <v>32</v>
      </c>
      <c r="B56" s="315">
        <f>Raw!C50</f>
        <v>769</v>
      </c>
      <c r="C56" s="315">
        <f>Raw!D50</f>
        <v>1774</v>
      </c>
      <c r="D56" s="315">
        <f>Raw!E50</f>
        <v>2771</v>
      </c>
      <c r="E56" s="315">
        <f>Raw!F50</f>
        <v>1888</v>
      </c>
      <c r="F56" s="315">
        <f>Raw!G50</f>
        <v>563</v>
      </c>
      <c r="G56" s="315">
        <f>Raw!H50</f>
        <v>2556</v>
      </c>
      <c r="H56" s="66"/>
      <c r="I56" s="66"/>
      <c r="J56" s="66"/>
      <c r="K56" s="66"/>
      <c r="L56" s="66"/>
    </row>
    <row r="57" spans="1:14">
      <c r="A57" s="282" t="s">
        <v>24</v>
      </c>
      <c r="B57" s="278"/>
      <c r="C57" s="278"/>
      <c r="D57" s="278"/>
      <c r="E57" s="278"/>
      <c r="F57" s="278"/>
      <c r="G57" s="278"/>
      <c r="H57" s="66"/>
      <c r="I57" s="66"/>
      <c r="J57" s="66"/>
      <c r="K57" s="66"/>
      <c r="L57" s="66"/>
    </row>
    <row r="58" spans="1:14" ht="30">
      <c r="A58" s="279" t="s">
        <v>97</v>
      </c>
      <c r="B58" s="293">
        <f>B56</f>
        <v>769</v>
      </c>
      <c r="C58" s="293">
        <f t="shared" ref="C58:G58" si="19">C56</f>
        <v>1774</v>
      </c>
      <c r="D58" s="293">
        <f t="shared" si="19"/>
        <v>2771</v>
      </c>
      <c r="E58" s="293">
        <f t="shared" si="19"/>
        <v>1888</v>
      </c>
      <c r="F58" s="293">
        <f t="shared" si="19"/>
        <v>563</v>
      </c>
      <c r="G58" s="293">
        <f t="shared" si="19"/>
        <v>2556</v>
      </c>
      <c r="H58" s="18">
        <f>H54*$H$94</f>
        <v>2034.1311495055998</v>
      </c>
      <c r="I58" s="18">
        <f t="shared" ref="I58:L58" si="20">I54*$H$94</f>
        <v>2454.0044057056557</v>
      </c>
      <c r="J58" s="18">
        <f t="shared" si="20"/>
        <v>2871.2331044632688</v>
      </c>
      <c r="K58" s="18">
        <f t="shared" si="20"/>
        <v>3343.4006857789109</v>
      </c>
      <c r="L58" s="18">
        <f t="shared" si="20"/>
        <v>3931.7977455718683</v>
      </c>
    </row>
    <row r="59" spans="1:14">
      <c r="A59" s="283"/>
      <c r="B59" s="284"/>
      <c r="C59" s="284"/>
      <c r="D59" s="284"/>
      <c r="E59" s="284"/>
      <c r="F59" s="284"/>
      <c r="G59" s="284"/>
      <c r="H59" s="16"/>
      <c r="I59" s="16"/>
      <c r="J59" s="16"/>
      <c r="K59" s="16"/>
      <c r="L59" s="16"/>
    </row>
    <row r="60" spans="1:14" s="1" customFormat="1">
      <c r="A60" s="275" t="s">
        <v>114</v>
      </c>
      <c r="B60" s="285">
        <f t="shared" ref="B60:G60" si="21">B53-B56</f>
        <v>8136</v>
      </c>
      <c r="C60" s="285">
        <f t="shared" si="21"/>
        <v>8206</v>
      </c>
      <c r="D60" s="285">
        <f t="shared" si="21"/>
        <v>12986</v>
      </c>
      <c r="E60" s="285">
        <f t="shared" si="21"/>
        <v>11140</v>
      </c>
      <c r="F60" s="285">
        <f t="shared" si="21"/>
        <v>11378</v>
      </c>
      <c r="G60" s="285">
        <f t="shared" si="21"/>
        <v>7221</v>
      </c>
      <c r="H60" s="72"/>
      <c r="I60" s="72"/>
      <c r="J60" s="72"/>
      <c r="K60" s="72"/>
      <c r="L60" s="72"/>
    </row>
    <row r="61" spans="1:14" s="1" customFormat="1">
      <c r="A61" s="296" t="s">
        <v>33</v>
      </c>
      <c r="B61" s="293">
        <f t="shared" ref="B61:L61" si="22">B54-B58</f>
        <v>11048</v>
      </c>
      <c r="C61" s="293">
        <f t="shared" si="22"/>
        <v>11282</v>
      </c>
      <c r="D61" s="293">
        <f t="shared" si="22"/>
        <v>17957</v>
      </c>
      <c r="E61" s="293">
        <f t="shared" si="22"/>
        <v>15300</v>
      </c>
      <c r="F61" s="293">
        <f t="shared" si="22"/>
        <v>14437</v>
      </c>
      <c r="G61" s="293">
        <f t="shared" si="22"/>
        <v>9371</v>
      </c>
      <c r="H61" s="19">
        <f t="shared" si="22"/>
        <v>14391.180781805735</v>
      </c>
      <c r="I61" s="19">
        <f t="shared" si="22"/>
        <v>17361.722743610451</v>
      </c>
      <c r="J61" s="19">
        <f t="shared" si="22"/>
        <v>20313.554847768413</v>
      </c>
      <c r="K61" s="19">
        <f t="shared" si="22"/>
        <v>23654.071521766018</v>
      </c>
      <c r="L61" s="19">
        <f t="shared" si="22"/>
        <v>27816.894779755803</v>
      </c>
    </row>
    <row r="62" spans="1:14">
      <c r="A62" s="283"/>
      <c r="B62" s="284"/>
      <c r="C62" s="284"/>
      <c r="D62" s="284"/>
      <c r="E62" s="284"/>
      <c r="F62" s="284"/>
      <c r="G62" s="284"/>
      <c r="H62" s="16"/>
      <c r="I62" s="16"/>
      <c r="J62" s="16"/>
      <c r="K62" s="16"/>
      <c r="L62" s="16"/>
    </row>
    <row r="63" spans="1:14" ht="30">
      <c r="A63" s="275" t="s">
        <v>34</v>
      </c>
      <c r="B63" s="289">
        <f>Raw!C53</f>
        <v>65</v>
      </c>
      <c r="C63" s="289">
        <f>Raw!D53</f>
        <v>106</v>
      </c>
      <c r="D63" s="289">
        <f>Raw!E53</f>
        <v>74</v>
      </c>
      <c r="E63" s="289">
        <f>Raw!F53</f>
        <v>226</v>
      </c>
      <c r="F63" s="289">
        <f>Raw!G53</f>
        <v>287</v>
      </c>
      <c r="G63" s="289">
        <f>Raw!H53</f>
        <v>45</v>
      </c>
      <c r="H63" s="63"/>
      <c r="I63" s="63"/>
      <c r="J63" s="63"/>
      <c r="K63" s="63"/>
      <c r="L63" s="63"/>
    </row>
    <row r="64" spans="1:14">
      <c r="A64" s="282" t="s">
        <v>24</v>
      </c>
      <c r="B64" s="278"/>
      <c r="C64" s="278"/>
      <c r="D64" s="278"/>
      <c r="E64" s="278"/>
      <c r="F64" s="278"/>
      <c r="G64" s="278"/>
      <c r="H64" s="63"/>
      <c r="I64" s="63"/>
      <c r="J64" s="63"/>
      <c r="K64" s="63"/>
      <c r="L64" s="63"/>
    </row>
    <row r="65" spans="1:16" ht="30">
      <c r="A65" s="279" t="s">
        <v>98</v>
      </c>
      <c r="B65" s="293">
        <f>B63</f>
        <v>65</v>
      </c>
      <c r="C65" s="293">
        <f t="shared" ref="C65:G65" si="23">C63</f>
        <v>106</v>
      </c>
      <c r="D65" s="293">
        <f t="shared" si="23"/>
        <v>74</v>
      </c>
      <c r="E65" s="293">
        <f t="shared" si="23"/>
        <v>226</v>
      </c>
      <c r="F65" s="293">
        <f t="shared" si="23"/>
        <v>287</v>
      </c>
      <c r="G65" s="293">
        <f t="shared" si="23"/>
        <v>45</v>
      </c>
      <c r="H65" s="73">
        <f>H61*$H$96</f>
        <v>156.76933005547758</v>
      </c>
      <c r="I65" s="73">
        <f t="shared" ref="I65:L65" si="24">I61*$H$96</f>
        <v>189.12872295828683</v>
      </c>
      <c r="J65" s="73">
        <f t="shared" si="24"/>
        <v>221.28430132404134</v>
      </c>
      <c r="K65" s="73">
        <f t="shared" si="24"/>
        <v>257.67398810247721</v>
      </c>
      <c r="L65" s="73">
        <f t="shared" si="24"/>
        <v>303.02141464022748</v>
      </c>
    </row>
    <row r="66" spans="1:16">
      <c r="A66" s="297"/>
      <c r="B66" s="284"/>
      <c r="C66" s="284"/>
      <c r="D66" s="284"/>
      <c r="E66" s="284"/>
      <c r="F66" s="284"/>
      <c r="G66" s="284"/>
      <c r="H66" s="16"/>
      <c r="I66" s="16"/>
      <c r="J66" s="16"/>
      <c r="K66" s="16"/>
      <c r="L66" s="16"/>
    </row>
    <row r="67" spans="1:16" s="1" customFormat="1" ht="17.25" customHeight="1">
      <c r="A67" s="275" t="s">
        <v>622</v>
      </c>
      <c r="B67" s="285">
        <f t="shared" ref="B67:G67" si="25">B60-B63</f>
        <v>8071</v>
      </c>
      <c r="C67" s="285">
        <f t="shared" si="25"/>
        <v>8100</v>
      </c>
      <c r="D67" s="285">
        <f t="shared" si="25"/>
        <v>12912</v>
      </c>
      <c r="E67" s="285">
        <f t="shared" si="25"/>
        <v>10914</v>
      </c>
      <c r="F67" s="285">
        <f t="shared" si="25"/>
        <v>11091</v>
      </c>
      <c r="G67" s="285">
        <f t="shared" si="25"/>
        <v>7176</v>
      </c>
      <c r="H67" s="112"/>
      <c r="I67" s="112"/>
      <c r="J67" s="112"/>
      <c r="K67" s="112"/>
      <c r="L67" s="112"/>
    </row>
    <row r="68" spans="1:16" s="1" customFormat="1" ht="17.25" customHeight="1">
      <c r="A68" s="279" t="s">
        <v>614</v>
      </c>
      <c r="B68" s="293">
        <f t="shared" ref="B68:L68" si="26">B61-B65</f>
        <v>10983</v>
      </c>
      <c r="C68" s="293">
        <f t="shared" si="26"/>
        <v>11176</v>
      </c>
      <c r="D68" s="293">
        <f t="shared" si="26"/>
        <v>17883</v>
      </c>
      <c r="E68" s="293">
        <f t="shared" si="26"/>
        <v>15074</v>
      </c>
      <c r="F68" s="293">
        <f t="shared" si="26"/>
        <v>14150</v>
      </c>
      <c r="G68" s="293">
        <f t="shared" si="26"/>
        <v>9326</v>
      </c>
      <c r="H68" s="19">
        <f t="shared" si="26"/>
        <v>14234.411451750257</v>
      </c>
      <c r="I68" s="19">
        <f t="shared" si="26"/>
        <v>17172.594020652163</v>
      </c>
      <c r="J68" s="19">
        <f t="shared" si="26"/>
        <v>20092.270546444372</v>
      </c>
      <c r="K68" s="19">
        <f t="shared" si="26"/>
        <v>23396.397533663541</v>
      </c>
      <c r="L68" s="19">
        <f t="shared" si="26"/>
        <v>27513.873365115574</v>
      </c>
    </row>
    <row r="69" spans="1:16">
      <c r="A69" s="298"/>
      <c r="B69" s="284"/>
      <c r="C69" s="284"/>
      <c r="D69" s="284"/>
      <c r="E69" s="284"/>
      <c r="F69" s="284"/>
      <c r="G69" s="284"/>
      <c r="H69" s="16"/>
      <c r="I69" s="16"/>
      <c r="J69" s="16"/>
      <c r="K69" s="16"/>
      <c r="L69" s="16"/>
    </row>
    <row r="70" spans="1:16">
      <c r="A70" s="298" t="s">
        <v>76</v>
      </c>
      <c r="B70" s="284">
        <f>Raw!C88</f>
        <v>2350</v>
      </c>
      <c r="C70" s="284">
        <f>Raw!D88</f>
        <v>669</v>
      </c>
      <c r="D70" s="284">
        <f>Raw!E88</f>
        <v>186</v>
      </c>
      <c r="E70" s="284">
        <f>Raw!F88</f>
        <v>397</v>
      </c>
      <c r="F70" s="284">
        <f>Raw!G88</f>
        <v>477</v>
      </c>
      <c r="G70" s="284">
        <f>Raw!H88</f>
        <v>530</v>
      </c>
      <c r="H70" s="62">
        <f>H68*$H$101</f>
        <v>452.93289523226696</v>
      </c>
      <c r="I70" s="62">
        <f t="shared" ref="I70:L70" si="27">I68*$H$101</f>
        <v>546.42461016299455</v>
      </c>
      <c r="J70" s="62">
        <f t="shared" si="27"/>
        <v>639.32747070284131</v>
      </c>
      <c r="K70" s="62">
        <f t="shared" si="27"/>
        <v>744.463380790099</v>
      </c>
      <c r="L70" s="62">
        <f t="shared" si="27"/>
        <v>875.47970385410201</v>
      </c>
    </row>
    <row r="71" spans="1:16">
      <c r="A71" s="298"/>
      <c r="B71" s="284"/>
      <c r="C71" s="284"/>
      <c r="D71" s="284"/>
      <c r="E71" s="284"/>
      <c r="F71" s="284"/>
      <c r="G71" s="284"/>
      <c r="H71" s="16"/>
      <c r="I71" s="16"/>
      <c r="J71" s="16"/>
      <c r="K71" s="16"/>
      <c r="L71" s="16"/>
    </row>
    <row r="72" spans="1:16">
      <c r="A72" s="287" t="s">
        <v>73</v>
      </c>
      <c r="B72" s="284">
        <f>Raw!C57</f>
        <v>1424</v>
      </c>
      <c r="C72" s="284">
        <f>Raw!D57</f>
        <v>1433</v>
      </c>
      <c r="D72" s="284">
        <f>Raw!E57</f>
        <v>1451</v>
      </c>
      <c r="E72" s="284">
        <f>Raw!F57</f>
        <v>1445</v>
      </c>
      <c r="F72" s="284">
        <f>Raw!G57</f>
        <v>1364</v>
      </c>
      <c r="G72" s="284">
        <f>Raw!H57</f>
        <v>1115</v>
      </c>
      <c r="H72" s="16"/>
      <c r="I72" s="16"/>
      <c r="J72" s="16"/>
      <c r="K72" s="16"/>
      <c r="L72" s="16"/>
    </row>
    <row r="73" spans="1:16" ht="30">
      <c r="A73" s="287" t="s">
        <v>35</v>
      </c>
      <c r="B73" s="284">
        <f>Raw!C58</f>
        <v>1439</v>
      </c>
      <c r="C73" s="284">
        <f>Raw!D58</f>
        <v>1442</v>
      </c>
      <c r="D73" s="284">
        <f>Raw!E58</f>
        <v>1468</v>
      </c>
      <c r="E73" s="284">
        <f>Raw!F58</f>
        <v>1454</v>
      </c>
      <c r="F73" s="284">
        <f>Raw!G58</f>
        <v>1369</v>
      </c>
      <c r="G73" s="284">
        <f>Raw!H58</f>
        <v>1129</v>
      </c>
      <c r="H73" s="17"/>
      <c r="I73" s="17"/>
      <c r="J73" s="17"/>
      <c r="K73" s="17"/>
      <c r="L73" s="17"/>
    </row>
    <row r="74" spans="1:16">
      <c r="A74" s="298"/>
      <c r="B74" s="284"/>
      <c r="C74" s="284"/>
      <c r="D74" s="284"/>
      <c r="E74" s="284"/>
      <c r="F74" s="284"/>
      <c r="G74" s="284"/>
      <c r="H74" s="16"/>
      <c r="I74" s="16"/>
      <c r="J74" s="16"/>
      <c r="K74" s="16"/>
      <c r="L74" s="16"/>
    </row>
    <row r="75" spans="1:16">
      <c r="A75" s="298" t="s">
        <v>74</v>
      </c>
      <c r="B75" s="299">
        <f t="shared" ref="B75:G75" si="28">B68/B72</f>
        <v>7.7127808988764048</v>
      </c>
      <c r="C75" s="299">
        <f t="shared" si="28"/>
        <v>7.7990230286113054</v>
      </c>
      <c r="D75" s="299">
        <f t="shared" si="28"/>
        <v>12.32460372157133</v>
      </c>
      <c r="E75" s="299">
        <f t="shared" si="28"/>
        <v>10.431833910034602</v>
      </c>
      <c r="F75" s="299">
        <f t="shared" si="28"/>
        <v>10.373900293255131</v>
      </c>
      <c r="G75" s="299">
        <f t="shared" si="28"/>
        <v>8.3641255605381168</v>
      </c>
      <c r="H75" s="16"/>
      <c r="I75" s="16"/>
      <c r="J75" s="16"/>
      <c r="K75" s="16"/>
      <c r="L75" s="16"/>
    </row>
    <row r="76" spans="1:16">
      <c r="A76" s="287" t="s">
        <v>75</v>
      </c>
      <c r="B76" s="299">
        <f t="shared" ref="B76:G76" si="29">B68/B73</f>
        <v>7.6323835997220293</v>
      </c>
      <c r="C76" s="299">
        <f t="shared" si="29"/>
        <v>7.7503467406380029</v>
      </c>
      <c r="D76" s="299">
        <f t="shared" si="29"/>
        <v>12.181880108991825</v>
      </c>
      <c r="E76" s="299">
        <f t="shared" si="29"/>
        <v>10.367262723521321</v>
      </c>
      <c r="F76" s="299">
        <f t="shared" si="29"/>
        <v>10.336011687363039</v>
      </c>
      <c r="G76" s="299">
        <f t="shared" si="29"/>
        <v>8.2604074402125782</v>
      </c>
      <c r="H76" s="67"/>
      <c r="I76" s="67"/>
      <c r="J76" s="67"/>
      <c r="K76" s="67"/>
      <c r="L76" s="67"/>
      <c r="M76" s="8"/>
      <c r="N76" s="8"/>
      <c r="O76" s="8"/>
      <c r="P76" s="8"/>
    </row>
    <row r="77" spans="1:16">
      <c r="A77" s="298"/>
      <c r="B77" s="284"/>
      <c r="C77" s="284"/>
      <c r="D77" s="284"/>
      <c r="E77" s="284"/>
      <c r="F77" s="284"/>
      <c r="G77" s="273"/>
      <c r="H77" s="16"/>
      <c r="I77" s="16"/>
      <c r="J77" s="16"/>
      <c r="K77" s="16"/>
      <c r="L77" s="16"/>
    </row>
    <row r="78" spans="1:16">
      <c r="A78" s="300" t="s">
        <v>116</v>
      </c>
      <c r="B78" s="273"/>
      <c r="C78" s="273"/>
      <c r="D78" s="273"/>
      <c r="E78" s="273"/>
      <c r="F78" s="273"/>
      <c r="G78" s="273"/>
      <c r="H78" s="16"/>
      <c r="I78" s="16"/>
      <c r="J78" s="16"/>
      <c r="K78" s="16"/>
      <c r="L78" s="16"/>
    </row>
    <row r="79" spans="1:16">
      <c r="A79" s="301" t="s">
        <v>106</v>
      </c>
      <c r="B79" s="302"/>
      <c r="C79" s="302"/>
      <c r="D79" s="302"/>
      <c r="E79" s="302"/>
      <c r="F79" s="302"/>
      <c r="G79" s="302"/>
      <c r="H79" s="16"/>
      <c r="I79" s="16"/>
      <c r="J79" s="16"/>
      <c r="K79" s="16"/>
      <c r="L79" s="16"/>
    </row>
    <row r="80" spans="1:16">
      <c r="A80" s="301" t="s">
        <v>105</v>
      </c>
      <c r="B80" s="302"/>
      <c r="C80" s="302"/>
      <c r="D80" s="302"/>
      <c r="E80" s="302"/>
      <c r="F80" s="302"/>
      <c r="G80" s="302"/>
      <c r="H80" s="16"/>
      <c r="I80" s="16"/>
      <c r="J80" s="16"/>
      <c r="K80" s="16"/>
      <c r="L80" s="16"/>
    </row>
    <row r="81" spans="1:12">
      <c r="A81" s="301" t="s">
        <v>104</v>
      </c>
      <c r="B81" s="302"/>
      <c r="C81" s="302"/>
      <c r="D81" s="302"/>
      <c r="E81" s="302"/>
      <c r="F81" s="302"/>
      <c r="G81" s="302"/>
      <c r="H81" s="16"/>
      <c r="I81" s="16"/>
      <c r="J81" s="16"/>
      <c r="K81" s="16"/>
      <c r="L81" s="16"/>
    </row>
    <row r="82" spans="1:12">
      <c r="A82" s="301" t="s">
        <v>103</v>
      </c>
      <c r="B82" s="302"/>
      <c r="C82" s="302"/>
      <c r="D82" s="302"/>
      <c r="E82" s="302"/>
      <c r="F82" s="302"/>
      <c r="G82" s="302"/>
      <c r="H82" s="16"/>
      <c r="I82" s="16"/>
      <c r="J82" s="16"/>
      <c r="K82" s="16"/>
      <c r="L82" s="16"/>
    </row>
    <row r="83" spans="1:12">
      <c r="A83" s="301" t="s">
        <v>102</v>
      </c>
      <c r="B83" s="302"/>
      <c r="C83" s="302"/>
      <c r="D83" s="302"/>
      <c r="E83" s="302"/>
      <c r="F83" s="302"/>
      <c r="G83" s="302"/>
      <c r="H83" s="16"/>
      <c r="I83" s="16"/>
      <c r="J83" s="16"/>
      <c r="K83" s="16"/>
      <c r="L83" s="16"/>
    </row>
    <row r="84" spans="1:12">
      <c r="A84" s="301" t="s">
        <v>115</v>
      </c>
      <c r="B84" s="302"/>
      <c r="C84" s="302"/>
      <c r="D84" s="302"/>
      <c r="E84" s="302"/>
      <c r="F84" s="302"/>
      <c r="G84" s="302"/>
      <c r="H84" s="16"/>
      <c r="I84" s="16"/>
      <c r="J84" s="16"/>
      <c r="K84" s="16"/>
      <c r="L84" s="16"/>
    </row>
    <row r="85" spans="1:12">
      <c r="A85" s="301"/>
      <c r="B85" s="273"/>
      <c r="C85" s="273"/>
      <c r="D85" s="273"/>
      <c r="E85" s="273"/>
      <c r="F85" s="273"/>
      <c r="G85" s="273"/>
      <c r="H85" s="16"/>
      <c r="I85" s="16"/>
      <c r="J85" s="16"/>
      <c r="K85" s="16"/>
      <c r="L85" s="16"/>
    </row>
    <row r="86" spans="1:12">
      <c r="A86" s="300" t="s">
        <v>79</v>
      </c>
      <c r="B86" s="273"/>
      <c r="C86" s="273"/>
      <c r="D86" s="273"/>
      <c r="E86" s="273"/>
      <c r="F86" s="273"/>
      <c r="G86" s="273"/>
      <c r="H86" s="16"/>
      <c r="I86" s="16"/>
      <c r="J86" s="16"/>
      <c r="K86" s="16"/>
      <c r="L86" s="16"/>
    </row>
    <row r="87" spans="1:12">
      <c r="A87" s="301" t="s">
        <v>99</v>
      </c>
      <c r="B87" s="302">
        <f t="shared" ref="B87:G87" si="30">B13/B8</f>
        <v>0.79607540240605668</v>
      </c>
      <c r="C87" s="302">
        <f t="shared" si="30"/>
        <v>0.78509205208801081</v>
      </c>
      <c r="D87" s="302">
        <f t="shared" si="30"/>
        <v>0.76454284904412462</v>
      </c>
      <c r="E87" s="302">
        <f t="shared" si="30"/>
        <v>0.79432800586978025</v>
      </c>
      <c r="F87" s="302">
        <f t="shared" si="30"/>
        <v>0.82045134484002746</v>
      </c>
      <c r="G87" s="302">
        <f t="shared" si="30"/>
        <v>0.81444393465712062</v>
      </c>
      <c r="H87" s="310">
        <f>AVERAGE(D87:G87)</f>
        <v>0.79844153360276326</v>
      </c>
      <c r="I87" s="68"/>
      <c r="J87" s="68"/>
      <c r="K87" s="68"/>
      <c r="L87" s="68"/>
    </row>
    <row r="88" spans="1:12">
      <c r="A88" s="301" t="s">
        <v>100</v>
      </c>
      <c r="B88" s="302">
        <f t="shared" ref="B88:G88" si="31">B23/B8</f>
        <v>6.153588318019193E-2</v>
      </c>
      <c r="C88" s="302">
        <f t="shared" si="31"/>
        <v>5.7255990529452586E-2</v>
      </c>
      <c r="D88" s="302">
        <f t="shared" si="31"/>
        <v>6.7186860256369885E-2</v>
      </c>
      <c r="E88" s="302">
        <f t="shared" si="31"/>
        <v>6.7923565253453277E-2</v>
      </c>
      <c r="F88" s="302">
        <f t="shared" si="31"/>
        <v>5.7139698094761465E-2</v>
      </c>
      <c r="G88" s="302">
        <f t="shared" si="31"/>
        <v>5.6236062355288573E-2</v>
      </c>
      <c r="H88" s="310">
        <f>AVERAGE(D88:G88)</f>
        <v>6.2121546489968302E-2</v>
      </c>
      <c r="I88" s="68"/>
      <c r="J88" s="68"/>
      <c r="K88" s="68"/>
      <c r="L88" s="68"/>
    </row>
    <row r="89" spans="1:12">
      <c r="A89" s="301"/>
      <c r="B89" s="273"/>
      <c r="C89" s="273"/>
      <c r="D89" s="273"/>
      <c r="E89" s="273"/>
      <c r="F89" s="273"/>
      <c r="G89" s="273"/>
      <c r="H89" s="311"/>
      <c r="I89" s="16"/>
      <c r="J89" s="16"/>
      <c r="K89" s="16"/>
      <c r="L89" s="16"/>
    </row>
    <row r="90" spans="1:12" ht="30">
      <c r="A90" s="277" t="s">
        <v>88</v>
      </c>
      <c r="B90" s="272">
        <f t="shared" ref="B90:G90" si="32">B27/B8</f>
        <v>0</v>
      </c>
      <c r="C90" s="272">
        <f t="shared" si="32"/>
        <v>0</v>
      </c>
      <c r="D90" s="272">
        <f t="shared" si="32"/>
        <v>0</v>
      </c>
      <c r="E90" s="272">
        <f t="shared" si="32"/>
        <v>0</v>
      </c>
      <c r="F90" s="272">
        <f t="shared" si="32"/>
        <v>0</v>
      </c>
      <c r="G90" s="272">
        <f t="shared" si="32"/>
        <v>0</v>
      </c>
      <c r="H90" s="310">
        <f>AVERAGE(D90:G90)</f>
        <v>0</v>
      </c>
      <c r="I90" s="68"/>
      <c r="J90" s="68"/>
      <c r="K90" s="68"/>
      <c r="L90" s="68"/>
    </row>
    <row r="91" spans="1:12">
      <c r="A91" s="301"/>
      <c r="B91" s="273"/>
      <c r="C91" s="273"/>
      <c r="D91" s="273"/>
      <c r="E91" s="273"/>
      <c r="F91" s="273"/>
      <c r="G91" s="273"/>
      <c r="H91" s="311"/>
      <c r="I91" s="16"/>
      <c r="J91" s="16"/>
      <c r="K91" s="16"/>
      <c r="L91" s="16"/>
    </row>
    <row r="92" spans="1:12" ht="30">
      <c r="A92" s="277" t="s">
        <v>117</v>
      </c>
      <c r="B92" s="303">
        <f t="shared" ref="B92:G92" si="33">(B39+B47+B51)/B8</f>
        <v>3.0647711622958825E-2</v>
      </c>
      <c r="C92" s="303">
        <f t="shared" si="33"/>
        <v>3.6281993713515939E-2</v>
      </c>
      <c r="D92" s="303">
        <f t="shared" si="33"/>
        <v>5.8132027337721645E-2</v>
      </c>
      <c r="E92" s="303">
        <f t="shared" si="33"/>
        <v>2.3613104922321115E-2</v>
      </c>
      <c r="F92" s="303">
        <f t="shared" si="33"/>
        <v>2.0681789085322564E-2</v>
      </c>
      <c r="G92" s="303">
        <f t="shared" si="33"/>
        <v>-1.1528899606278209E-2</v>
      </c>
      <c r="H92" s="310">
        <f>AVERAGE(D92:G92)</f>
        <v>2.272450543477178E-2</v>
      </c>
      <c r="I92" s="68"/>
      <c r="J92" s="68"/>
      <c r="K92" s="68"/>
      <c r="L92" s="68"/>
    </row>
    <row r="93" spans="1:12">
      <c r="A93" s="301"/>
      <c r="B93" s="273"/>
      <c r="C93" s="273"/>
      <c r="D93" s="273"/>
      <c r="E93" s="273"/>
      <c r="F93" s="273"/>
      <c r="G93" s="273"/>
      <c r="H93" s="311"/>
      <c r="I93" s="16"/>
      <c r="J93" s="16"/>
      <c r="K93" s="16"/>
      <c r="L93" s="16"/>
    </row>
    <row r="94" spans="1:12">
      <c r="A94" s="304" t="s">
        <v>118</v>
      </c>
      <c r="B94" s="302">
        <f t="shared" ref="B94:G94" si="34">B58/B54</f>
        <v>6.507573834306507E-2</v>
      </c>
      <c r="C94" s="302">
        <f t="shared" si="34"/>
        <v>0.13587622549019607</v>
      </c>
      <c r="D94" s="302">
        <f t="shared" si="34"/>
        <v>0.13368390582786568</v>
      </c>
      <c r="E94" s="302">
        <f t="shared" si="34"/>
        <v>0.10984407726320689</v>
      </c>
      <c r="F94" s="302">
        <f t="shared" si="34"/>
        <v>3.7533333333333335E-2</v>
      </c>
      <c r="G94" s="302">
        <f t="shared" si="34"/>
        <v>0.21430368072440681</v>
      </c>
      <c r="H94" s="310">
        <f>AVERAGE(D94:G94)</f>
        <v>0.12384124928720318</v>
      </c>
      <c r="I94" s="68"/>
      <c r="J94" s="68"/>
      <c r="K94" s="68"/>
      <c r="L94" s="68"/>
    </row>
    <row r="95" spans="1:12">
      <c r="A95" s="305"/>
      <c r="B95" s="273"/>
      <c r="C95" s="273"/>
      <c r="D95" s="273"/>
      <c r="E95" s="273"/>
      <c r="F95" s="273"/>
      <c r="G95" s="273"/>
      <c r="H95" s="311"/>
      <c r="I95" s="16"/>
      <c r="J95" s="16"/>
      <c r="K95" s="16"/>
      <c r="L95" s="16"/>
    </row>
    <row r="96" spans="1:12">
      <c r="A96" s="301" t="s">
        <v>101</v>
      </c>
      <c r="B96" s="302">
        <f t="shared" ref="B96:G96" si="35">B65/B61</f>
        <v>5.883417813178856E-3</v>
      </c>
      <c r="C96" s="302">
        <f t="shared" si="35"/>
        <v>9.3954972522602379E-3</v>
      </c>
      <c r="D96" s="302">
        <f t="shared" si="35"/>
        <v>4.1209556161942414E-3</v>
      </c>
      <c r="E96" s="302">
        <f t="shared" si="35"/>
        <v>1.4771241830065359E-2</v>
      </c>
      <c r="F96" s="302">
        <f t="shared" si="35"/>
        <v>1.9879476345501142E-2</v>
      </c>
      <c r="G96" s="302">
        <f t="shared" si="35"/>
        <v>4.8020488741863194E-3</v>
      </c>
      <c r="H96" s="312">
        <f>AVERAGE(D96:G96)</f>
        <v>1.0893430666486766E-2</v>
      </c>
      <c r="I96" s="68"/>
      <c r="J96" s="68"/>
      <c r="K96" s="68"/>
      <c r="L96" s="68"/>
    </row>
    <row r="97" spans="1:12">
      <c r="A97" s="306"/>
      <c r="B97" s="273"/>
      <c r="C97" s="273"/>
      <c r="D97" s="273"/>
      <c r="E97" s="273"/>
      <c r="F97" s="273"/>
      <c r="G97" s="273"/>
      <c r="H97" s="311"/>
      <c r="I97" s="16"/>
      <c r="J97" s="16"/>
      <c r="K97" s="16"/>
      <c r="L97" s="16"/>
    </row>
    <row r="98" spans="1:12">
      <c r="A98" s="306" t="s">
        <v>36</v>
      </c>
      <c r="B98" s="273">
        <f>Raw!C87</f>
        <v>456</v>
      </c>
      <c r="C98" s="273">
        <f>Raw!D87</f>
        <v>351</v>
      </c>
      <c r="D98" s="273">
        <f>Raw!E87</f>
        <v>391</v>
      </c>
      <c r="E98" s="273">
        <f>Raw!F87</f>
        <v>419</v>
      </c>
      <c r="F98" s="273">
        <f>Raw!G87</f>
        <v>340</v>
      </c>
      <c r="G98" s="273">
        <f>Raw!H87</f>
        <v>332</v>
      </c>
      <c r="H98" s="24">
        <f>H23*$H$99</f>
        <v>492.96972630079887</v>
      </c>
      <c r="I98" s="24">
        <f t="shared" ref="I98:L98" si="36">I23*$H$99</f>
        <v>552.23133052623655</v>
      </c>
      <c r="J98" s="24">
        <f t="shared" si="36"/>
        <v>619.13153241539931</v>
      </c>
      <c r="K98" s="24">
        <f t="shared" si="36"/>
        <v>694.69765656796972</v>
      </c>
      <c r="L98" s="24">
        <f t="shared" si="36"/>
        <v>780.10344301550492</v>
      </c>
    </row>
    <row r="99" spans="1:12">
      <c r="A99" s="301" t="s">
        <v>107</v>
      </c>
      <c r="B99" s="307">
        <f t="shared" ref="B99:G99" si="37">B98/B23</f>
        <v>5.3996447602131438E-2</v>
      </c>
      <c r="C99" s="307">
        <f t="shared" si="37"/>
        <v>5.0049907314986451E-2</v>
      </c>
      <c r="D99" s="307">
        <f t="shared" si="37"/>
        <v>4.5822102425876012E-2</v>
      </c>
      <c r="E99" s="307">
        <f t="shared" si="37"/>
        <v>3.9357505166259625E-2</v>
      </c>
      <c r="F99" s="307">
        <f t="shared" si="37"/>
        <v>3.4626744067623998E-2</v>
      </c>
      <c r="G99" s="307">
        <f t="shared" si="37"/>
        <v>3.1496062992125984E-2</v>
      </c>
      <c r="H99" s="312">
        <f>AVERAGE(D99:G99)</f>
        <v>3.7825603662971406E-2</v>
      </c>
      <c r="I99" s="68"/>
      <c r="J99" s="68"/>
      <c r="K99" s="68"/>
      <c r="L99" s="68"/>
    </row>
    <row r="100" spans="1:12">
      <c r="A100" s="306"/>
      <c r="B100" s="273"/>
      <c r="C100" s="273"/>
      <c r="D100" s="273"/>
      <c r="E100" s="273"/>
      <c r="F100" s="273"/>
      <c r="G100" s="273"/>
      <c r="H100" s="311"/>
      <c r="I100" s="16"/>
      <c r="J100" s="16"/>
      <c r="K100" s="16"/>
      <c r="L100" s="16"/>
    </row>
    <row r="101" spans="1:12">
      <c r="A101" s="301" t="s">
        <v>119</v>
      </c>
      <c r="B101" s="302">
        <f t="shared" ref="B101:G101" si="38">B70/B68</f>
        <v>0.21396703997086405</v>
      </c>
      <c r="C101" s="302">
        <f t="shared" si="38"/>
        <v>5.9860415175375804E-2</v>
      </c>
      <c r="D101" s="302">
        <f t="shared" si="38"/>
        <v>1.0400939439691326E-2</v>
      </c>
      <c r="E101" s="302">
        <f t="shared" si="38"/>
        <v>2.6336738755472999E-2</v>
      </c>
      <c r="F101" s="302">
        <f t="shared" si="38"/>
        <v>3.3710247349823322E-2</v>
      </c>
      <c r="G101" s="302">
        <f t="shared" si="38"/>
        <v>5.6830366716705986E-2</v>
      </c>
      <c r="H101" s="312">
        <f>AVERAGE(D101:G101)</f>
        <v>3.1819573065423407E-2</v>
      </c>
      <c r="I101" s="68"/>
      <c r="J101" s="68"/>
      <c r="K101" s="68"/>
      <c r="L101" s="68"/>
    </row>
    <row r="102" spans="1:12">
      <c r="A102" s="26"/>
      <c r="B102" s="9"/>
      <c r="C102" s="9"/>
      <c r="D102" s="9"/>
      <c r="E102" s="9"/>
      <c r="F102" s="9"/>
      <c r="G102" s="9"/>
    </row>
  </sheetData>
  <mergeCells count="1">
    <mergeCell ref="C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9"/>
  <sheetViews>
    <sheetView topLeftCell="A15" zoomScale="82" zoomScaleNormal="82" workbookViewId="0">
      <selection activeCell="G58" sqref="G58"/>
    </sheetView>
  </sheetViews>
  <sheetFormatPr defaultRowHeight="15"/>
  <cols>
    <col min="1" max="1" width="48.42578125" customWidth="1"/>
    <col min="2" max="12" width="9.7109375" customWidth="1"/>
  </cols>
  <sheetData>
    <row r="1" spans="1:14">
      <c r="A1" s="2" t="s">
        <v>319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</row>
    <row r="2" spans="1:14">
      <c r="A2" s="3" t="s">
        <v>20</v>
      </c>
      <c r="B2" s="14"/>
      <c r="C2" s="14"/>
      <c r="D2" s="14"/>
      <c r="E2" s="14"/>
      <c r="F2" s="141"/>
      <c r="G2" s="141"/>
      <c r="H2" s="141"/>
      <c r="I2" s="141"/>
      <c r="J2" s="141"/>
      <c r="K2" s="141"/>
    </row>
    <row r="3" spans="1:14">
      <c r="A3" s="2" t="s">
        <v>215</v>
      </c>
      <c r="B3" s="4"/>
      <c r="C3" s="4"/>
      <c r="D3" s="4"/>
      <c r="E3" s="4"/>
      <c r="F3" s="4"/>
      <c r="G3" s="4"/>
      <c r="H3" s="12"/>
      <c r="I3" s="12"/>
      <c r="J3" s="12"/>
      <c r="K3" s="12"/>
      <c r="L3" s="12"/>
    </row>
    <row r="4" spans="1:14">
      <c r="A4" s="5"/>
      <c r="B4" s="107">
        <v>43830</v>
      </c>
      <c r="C4" s="107">
        <v>44196</v>
      </c>
      <c r="D4" s="107">
        <v>44561</v>
      </c>
      <c r="E4" s="107">
        <v>44926</v>
      </c>
      <c r="F4" s="107">
        <v>45291</v>
      </c>
      <c r="G4" s="107">
        <v>45657</v>
      </c>
      <c r="H4" s="108">
        <v>46022</v>
      </c>
      <c r="I4" s="108">
        <v>46387</v>
      </c>
      <c r="J4" s="108">
        <v>46752</v>
      </c>
      <c r="K4" s="108">
        <v>47118</v>
      </c>
      <c r="L4" s="108">
        <v>47483</v>
      </c>
    </row>
    <row r="5" spans="1:14">
      <c r="A5" s="1" t="s">
        <v>38</v>
      </c>
      <c r="H5" s="353"/>
      <c r="I5" s="353"/>
      <c r="J5" s="353"/>
      <c r="K5" s="353"/>
      <c r="L5" s="353"/>
    </row>
    <row r="6" spans="1:14">
      <c r="A6" t="s">
        <v>132</v>
      </c>
      <c r="B6">
        <f>Raw!C95</f>
        <v>19069</v>
      </c>
      <c r="C6">
        <f>Raw!D95</f>
        <v>19992</v>
      </c>
      <c r="D6">
        <f>Raw!E95</f>
        <v>20067</v>
      </c>
      <c r="E6">
        <f>Raw!F95</f>
        <v>19153</v>
      </c>
      <c r="F6">
        <f>Raw!G95</f>
        <v>18853</v>
      </c>
      <c r="G6">
        <f>Raw!H95</f>
        <v>19872</v>
      </c>
      <c r="H6" s="433">
        <f>'GM-CFS'!I29</f>
        <v>28526.939726036013</v>
      </c>
      <c r="I6" s="433">
        <f>'GM-CFS'!J29</f>
        <v>31654.379356701695</v>
      </c>
      <c r="J6" s="433">
        <f>'GM-CFS'!K29</f>
        <v>39467.680486059071</v>
      </c>
      <c r="K6" s="433">
        <f>'GM-CFS'!L29</f>
        <v>45083.913645350411</v>
      </c>
      <c r="L6" s="433">
        <f>'GM-CFS'!M29</f>
        <v>41064.789294842019</v>
      </c>
    </row>
    <row r="7" spans="1:14">
      <c r="A7" t="s">
        <v>123</v>
      </c>
      <c r="B7">
        <f>Raw!C96</f>
        <v>4174</v>
      </c>
      <c r="C7">
        <f>Raw!D96</f>
        <v>9046</v>
      </c>
      <c r="D7">
        <f>Raw!E96</f>
        <v>8609</v>
      </c>
      <c r="E7">
        <f>Raw!F96</f>
        <v>12150</v>
      </c>
      <c r="F7">
        <f>Raw!G96</f>
        <v>7613</v>
      </c>
      <c r="G7">
        <f>Raw!H96</f>
        <v>7265</v>
      </c>
      <c r="H7" s="353">
        <f>G7</f>
        <v>7265</v>
      </c>
      <c r="I7" s="353">
        <f t="shared" ref="I7:L7" si="0">H7</f>
        <v>7265</v>
      </c>
      <c r="J7" s="353">
        <f t="shared" si="0"/>
        <v>7265</v>
      </c>
      <c r="K7" s="353">
        <f t="shared" si="0"/>
        <v>7265</v>
      </c>
      <c r="L7" s="353">
        <f t="shared" si="0"/>
        <v>7265</v>
      </c>
    </row>
    <row r="8" spans="1:14">
      <c r="A8" t="s">
        <v>135</v>
      </c>
      <c r="B8">
        <f>Raw!C97</f>
        <v>6797</v>
      </c>
      <c r="C8">
        <f>Raw!D97</f>
        <v>8035</v>
      </c>
      <c r="D8">
        <f>Raw!E97</f>
        <v>7394</v>
      </c>
      <c r="E8">
        <f>Raw!F97</f>
        <v>13333</v>
      </c>
      <c r="F8">
        <f>Raw!G97</f>
        <v>12378</v>
      </c>
      <c r="G8">
        <f>Raw!H97</f>
        <v>12827</v>
      </c>
      <c r="H8" s="354">
        <f>H67</f>
        <v>15771.598415549888</v>
      </c>
      <c r="I8" s="354">
        <f>I67</f>
        <v>17667.557078809779</v>
      </c>
      <c r="J8" s="354">
        <f>J67</f>
        <v>19807.897675447708</v>
      </c>
      <c r="K8" s="354">
        <f>K67</f>
        <v>22164.762063297367</v>
      </c>
      <c r="L8" s="354">
        <f>L67</f>
        <v>24957.8778765028</v>
      </c>
    </row>
    <row r="9" spans="1:14">
      <c r="A9" t="s">
        <v>137</v>
      </c>
      <c r="B9">
        <f>Raw!C98</f>
        <v>26601</v>
      </c>
      <c r="C9">
        <f>Raw!D98</f>
        <v>26209</v>
      </c>
      <c r="D9">
        <f>Raw!E98</f>
        <v>26649</v>
      </c>
      <c r="E9">
        <f>Raw!F98</f>
        <v>33623</v>
      </c>
      <c r="F9">
        <f>Raw!G98</f>
        <v>39076</v>
      </c>
      <c r="G9">
        <f>Raw!H98</f>
        <v>46362</v>
      </c>
      <c r="H9" s="353">
        <f>G9</f>
        <v>46362</v>
      </c>
      <c r="I9" s="353">
        <f t="shared" ref="I9:L9" si="1">H9</f>
        <v>46362</v>
      </c>
      <c r="J9" s="353">
        <f t="shared" si="1"/>
        <v>46362</v>
      </c>
      <c r="K9" s="353">
        <f t="shared" si="1"/>
        <v>46362</v>
      </c>
      <c r="L9" s="353">
        <f t="shared" si="1"/>
        <v>46362</v>
      </c>
    </row>
    <row r="10" spans="1:14">
      <c r="A10" t="s">
        <v>124</v>
      </c>
      <c r="B10">
        <f>Raw!C99</f>
        <v>10398</v>
      </c>
      <c r="C10">
        <f>Raw!D99</f>
        <v>10235</v>
      </c>
      <c r="D10">
        <f>Raw!E99</f>
        <v>12988</v>
      </c>
      <c r="E10">
        <f>Raw!F99</f>
        <v>15366</v>
      </c>
      <c r="F10">
        <f>Raw!G99</f>
        <v>16461</v>
      </c>
      <c r="G10">
        <f>Raw!H99</f>
        <v>14564</v>
      </c>
      <c r="H10" s="434">
        <f>H69</f>
        <v>18737.331924677579</v>
      </c>
      <c r="I10" s="434">
        <f t="shared" ref="I10:L10" si="2">I69</f>
        <v>20989.811721141508</v>
      </c>
      <c r="J10" s="434">
        <f t="shared" si="2"/>
        <v>23532.62768274542</v>
      </c>
      <c r="K10" s="434">
        <f t="shared" si="2"/>
        <v>26332.683147830721</v>
      </c>
      <c r="L10" s="434">
        <f t="shared" si="2"/>
        <v>29651.023921997028</v>
      </c>
    </row>
    <row r="11" spans="1:14">
      <c r="A11" t="s">
        <v>140</v>
      </c>
      <c r="B11">
        <f>Raw!C100</f>
        <v>7953</v>
      </c>
      <c r="C11">
        <f>Raw!D100</f>
        <v>7407</v>
      </c>
      <c r="D11">
        <f>Raw!E100</f>
        <v>6396</v>
      </c>
      <c r="E11">
        <f>Raw!F100</f>
        <v>6825</v>
      </c>
      <c r="F11">
        <f>Raw!G100</f>
        <v>7238</v>
      </c>
      <c r="G11">
        <f>Raw!H100</f>
        <v>7655</v>
      </c>
      <c r="H11" s="434">
        <f>H71</f>
        <v>8846.589869833786</v>
      </c>
      <c r="I11" s="434">
        <f t="shared" ref="I11:L11" si="3">I71</f>
        <v>9910.0691863932025</v>
      </c>
      <c r="J11" s="434">
        <f t="shared" si="3"/>
        <v>11110.626982839663</v>
      </c>
      <c r="K11" s="434">
        <f t="shared" si="3"/>
        <v>12466.699116208003</v>
      </c>
      <c r="L11" s="434">
        <f t="shared" si="3"/>
        <v>13999.348942154786</v>
      </c>
    </row>
    <row r="12" spans="1:14">
      <c r="A12" s="1" t="s">
        <v>125</v>
      </c>
      <c r="B12" s="142">
        <f>SUM(B6:B11)</f>
        <v>74992</v>
      </c>
      <c r="C12" s="142">
        <f t="shared" ref="C12:G12" si="4">SUM(C6:C11)</f>
        <v>80924</v>
      </c>
      <c r="D12" s="142">
        <f t="shared" si="4"/>
        <v>82103</v>
      </c>
      <c r="E12" s="142">
        <f t="shared" si="4"/>
        <v>100450</v>
      </c>
      <c r="F12" s="142">
        <f t="shared" si="4"/>
        <v>101619</v>
      </c>
      <c r="G12" s="142">
        <f t="shared" si="4"/>
        <v>108545</v>
      </c>
      <c r="H12" s="430">
        <f>SUM(H6:H11)</f>
        <v>125509.45993609726</v>
      </c>
      <c r="I12" s="430">
        <f t="shared" ref="I12:L12" si="5">SUM(I6:I11)</f>
        <v>133848.81734304619</v>
      </c>
      <c r="J12" s="430">
        <f t="shared" si="5"/>
        <v>147545.83282709186</v>
      </c>
      <c r="K12" s="430">
        <f t="shared" si="5"/>
        <v>159675.05797268651</v>
      </c>
      <c r="L12" s="430">
        <f t="shared" si="5"/>
        <v>163300.04003549664</v>
      </c>
    </row>
    <row r="13" spans="1:14" hidden="1">
      <c r="H13" s="353"/>
      <c r="I13" s="353"/>
      <c r="J13" s="353"/>
      <c r="K13" s="353"/>
      <c r="L13" s="353"/>
    </row>
    <row r="14" spans="1:14" hidden="1">
      <c r="A14" s="1" t="s">
        <v>126</v>
      </c>
      <c r="H14" s="353"/>
      <c r="I14" s="353"/>
      <c r="J14" s="353"/>
      <c r="K14" s="353"/>
      <c r="L14" s="353"/>
    </row>
    <row r="15" spans="1:14">
      <c r="A15" t="s">
        <v>143</v>
      </c>
      <c r="B15">
        <f>Raw!C104</f>
        <v>26355</v>
      </c>
      <c r="C15">
        <f>Raw!D104</f>
        <v>31783</v>
      </c>
      <c r="D15">
        <f>Raw!E104</f>
        <v>36167</v>
      </c>
      <c r="E15">
        <f>Raw!F104</f>
        <v>40591</v>
      </c>
      <c r="F15">
        <f>Raw!G104</f>
        <v>45043</v>
      </c>
      <c r="G15">
        <f>Raw!H104</f>
        <v>46474</v>
      </c>
      <c r="H15" s="353">
        <f>G15</f>
        <v>46474</v>
      </c>
      <c r="I15" s="353">
        <f t="shared" ref="I15:L15" si="6">H15</f>
        <v>46474</v>
      </c>
      <c r="J15" s="353">
        <f t="shared" si="6"/>
        <v>46474</v>
      </c>
      <c r="K15" s="353">
        <f t="shared" si="6"/>
        <v>46474</v>
      </c>
      <c r="L15" s="353">
        <f t="shared" si="6"/>
        <v>46474</v>
      </c>
      <c r="N15" s="21"/>
    </row>
    <row r="16" spans="1:14">
      <c r="A16" t="s">
        <v>127</v>
      </c>
      <c r="B16">
        <f>Raw!C105</f>
        <v>8562</v>
      </c>
      <c r="C16">
        <f>Raw!D105</f>
        <v>8406</v>
      </c>
      <c r="D16">
        <f>Raw!E105</f>
        <v>9677</v>
      </c>
      <c r="E16">
        <f>Raw!F105</f>
        <v>10176</v>
      </c>
      <c r="F16">
        <f>Raw!G105</f>
        <v>10613</v>
      </c>
      <c r="G16">
        <f>Raw!H105</f>
        <v>7102</v>
      </c>
      <c r="H16" s="353">
        <f>G16</f>
        <v>7102</v>
      </c>
      <c r="I16" s="353">
        <f t="shared" ref="I16:L16" si="7">H16</f>
        <v>7102</v>
      </c>
      <c r="J16" s="353">
        <f t="shared" si="7"/>
        <v>7102</v>
      </c>
      <c r="K16" s="353">
        <f t="shared" si="7"/>
        <v>7102</v>
      </c>
      <c r="L16" s="353">
        <f t="shared" si="7"/>
        <v>7102</v>
      </c>
    </row>
    <row r="17" spans="1:13">
      <c r="A17" t="s">
        <v>128</v>
      </c>
      <c r="B17">
        <f>Raw!C106</f>
        <v>38750</v>
      </c>
      <c r="C17">
        <f>Raw!D106</f>
        <v>37632</v>
      </c>
      <c r="D17">
        <f>Raw!E106</f>
        <v>41115</v>
      </c>
      <c r="E17">
        <f>Raw!F106</f>
        <v>45248</v>
      </c>
      <c r="F17">
        <f>Raw!G106</f>
        <v>50321</v>
      </c>
      <c r="G17">
        <f>Raw!H106</f>
        <v>51904</v>
      </c>
      <c r="H17" s="434">
        <f>'Fixed Asset Shedule'!H10</f>
        <v>73714.351791075984</v>
      </c>
      <c r="I17" s="434">
        <f>'Fixed Asset Shedule'!I10</f>
        <v>82575.810230639298</v>
      </c>
      <c r="J17" s="434">
        <f>'Fixed Asset Shedule'!J10</f>
        <v>92579.477299522652</v>
      </c>
      <c r="K17" s="434">
        <f>'Fixed Asset Shedule'!K10</f>
        <v>103878.97007176607</v>
      </c>
      <c r="L17" s="434">
        <f>'Fixed Asset Shedule'!L10</f>
        <v>116649.7992957612</v>
      </c>
      <c r="M17" s="711" t="s">
        <v>603</v>
      </c>
    </row>
    <row r="18" spans="1:13">
      <c r="A18" t="s">
        <v>129</v>
      </c>
      <c r="B18">
        <f>Raw!C107</f>
        <v>5337</v>
      </c>
      <c r="C18">
        <f>Raw!D107</f>
        <v>5230</v>
      </c>
      <c r="D18">
        <f>Raw!E107</f>
        <v>5087</v>
      </c>
      <c r="E18">
        <f>Raw!F107</f>
        <v>4945</v>
      </c>
      <c r="F18">
        <f>Raw!G107</f>
        <v>4862</v>
      </c>
      <c r="G18">
        <f>Raw!H107</f>
        <v>4551</v>
      </c>
      <c r="H18" s="434">
        <f>'Fixed Asset Shedule'!H31</f>
        <v>4436.0475451553975</v>
      </c>
      <c r="I18" s="434">
        <f>'Fixed Asset Shedule'!I31</f>
        <v>4324.211616697984</v>
      </c>
      <c r="J18" s="434">
        <f>'Fixed Asset Shedule'!J31</f>
        <v>4215.407721114897</v>
      </c>
      <c r="K18" s="434">
        <f>'Fixed Asset Shedule'!K31</f>
        <v>4109.5536556339339</v>
      </c>
      <c r="L18" s="434">
        <f>'Fixed Asset Shedule'!L31</f>
        <v>4006.5694461182793</v>
      </c>
    </row>
    <row r="19" spans="1:13">
      <c r="A19" t="s">
        <v>148</v>
      </c>
      <c r="B19">
        <f>Raw!C108</f>
        <v>42055</v>
      </c>
      <c r="C19">
        <f>Raw!D108</f>
        <v>39819</v>
      </c>
      <c r="D19">
        <f>Raw!E108</f>
        <v>37929</v>
      </c>
      <c r="E19">
        <f>Raw!F108</f>
        <v>32701</v>
      </c>
      <c r="F19">
        <f>Raw!G108</f>
        <v>30582</v>
      </c>
      <c r="G19">
        <f>Raw!H108</f>
        <v>31586</v>
      </c>
      <c r="H19" s="353"/>
      <c r="I19" s="353"/>
      <c r="J19" s="353"/>
      <c r="K19" s="353"/>
      <c r="L19" s="353"/>
    </row>
    <row r="20" spans="1:13">
      <c r="A20" t="s">
        <v>130</v>
      </c>
      <c r="B20">
        <f>Raw!C109</f>
        <v>24640</v>
      </c>
      <c r="C20">
        <f>Raw!D109</f>
        <v>24136</v>
      </c>
      <c r="D20">
        <f>Raw!E109</f>
        <v>21152</v>
      </c>
      <c r="E20">
        <f>Raw!F109</f>
        <v>20539</v>
      </c>
      <c r="F20">
        <f>Raw!G109</f>
        <v>22339</v>
      </c>
      <c r="G20">
        <f>Raw!H109</f>
        <v>21254</v>
      </c>
      <c r="H20" s="353">
        <f>G20</f>
        <v>21254</v>
      </c>
      <c r="I20" s="353">
        <f t="shared" ref="I20:L20" si="8">H20</f>
        <v>21254</v>
      </c>
      <c r="J20" s="353">
        <f t="shared" si="8"/>
        <v>21254</v>
      </c>
      <c r="K20" s="353">
        <f t="shared" si="8"/>
        <v>21254</v>
      </c>
      <c r="L20" s="353">
        <f t="shared" si="8"/>
        <v>21254</v>
      </c>
    </row>
    <row r="21" spans="1:13">
      <c r="A21" t="s">
        <v>151</v>
      </c>
      <c r="B21">
        <f>Raw!C110</f>
        <v>7346</v>
      </c>
      <c r="C21">
        <f>Raw!D110</f>
        <v>7264</v>
      </c>
      <c r="D21">
        <f>Raw!E110</f>
        <v>11488</v>
      </c>
      <c r="E21">
        <f>Raw!F110</f>
        <v>9386</v>
      </c>
      <c r="F21">
        <f>Raw!G110</f>
        <v>7686</v>
      </c>
      <c r="G21">
        <f>Raw!H110</f>
        <v>8345</v>
      </c>
      <c r="H21" s="353">
        <f>G21</f>
        <v>8345</v>
      </c>
      <c r="I21" s="353">
        <f t="shared" ref="I21:L21" si="9">H21</f>
        <v>8345</v>
      </c>
      <c r="J21" s="353">
        <f t="shared" si="9"/>
        <v>8345</v>
      </c>
      <c r="K21" s="353">
        <f t="shared" si="9"/>
        <v>8345</v>
      </c>
      <c r="L21" s="353">
        <f t="shared" si="9"/>
        <v>8345</v>
      </c>
    </row>
    <row r="22" spans="1:13" ht="15.75" thickBot="1">
      <c r="A22" s="1" t="s">
        <v>131</v>
      </c>
      <c r="B22" s="734">
        <f t="shared" ref="B22:G22" si="10">SUM(B15:B21)</f>
        <v>153045</v>
      </c>
      <c r="C22" s="734">
        <f t="shared" si="10"/>
        <v>154270</v>
      </c>
      <c r="D22" s="734">
        <f t="shared" si="10"/>
        <v>162615</v>
      </c>
      <c r="E22" s="734">
        <f t="shared" si="10"/>
        <v>163586</v>
      </c>
      <c r="F22" s="734">
        <f t="shared" si="10"/>
        <v>171446</v>
      </c>
      <c r="G22" s="734">
        <f t="shared" si="10"/>
        <v>171216</v>
      </c>
      <c r="H22" s="735">
        <f>SUM(H15:H21)</f>
        <v>161325.39933623138</v>
      </c>
      <c r="I22" s="735">
        <f t="shared" ref="I22:L22" si="11">SUM(I15:I21)</f>
        <v>170075.02184733728</v>
      </c>
      <c r="J22" s="735">
        <f t="shared" si="11"/>
        <v>179969.88502063756</v>
      </c>
      <c r="K22" s="735">
        <f t="shared" si="11"/>
        <v>191163.5237274</v>
      </c>
      <c r="L22" s="735">
        <f t="shared" si="11"/>
        <v>203831.3687418795</v>
      </c>
    </row>
    <row r="23" spans="1:13" ht="15.75" hidden="1" thickBot="1">
      <c r="A23" s="1"/>
      <c r="B23" s="103"/>
      <c r="C23" s="103"/>
      <c r="D23" s="103"/>
      <c r="E23" s="103"/>
      <c r="F23" s="103"/>
      <c r="G23" s="103"/>
      <c r="H23" s="628"/>
      <c r="I23" s="628"/>
      <c r="J23" s="628"/>
      <c r="K23" s="628"/>
      <c r="L23" s="628"/>
    </row>
    <row r="24" spans="1:13" ht="16.5" thickTop="1" thickBot="1">
      <c r="A24" s="1" t="s">
        <v>39</v>
      </c>
      <c r="B24" s="102">
        <f t="shared" ref="B24:G24" si="12">B12+B22</f>
        <v>228037</v>
      </c>
      <c r="C24" s="102">
        <f t="shared" si="12"/>
        <v>235194</v>
      </c>
      <c r="D24" s="102">
        <f t="shared" si="12"/>
        <v>244718</v>
      </c>
      <c r="E24" s="102">
        <f t="shared" si="12"/>
        <v>264036</v>
      </c>
      <c r="F24" s="102">
        <f t="shared" si="12"/>
        <v>273065</v>
      </c>
      <c r="G24" s="102">
        <f t="shared" si="12"/>
        <v>279761</v>
      </c>
      <c r="H24" s="627">
        <f>H12+H22</f>
        <v>286834.85927232867</v>
      </c>
      <c r="I24" s="627">
        <f t="shared" ref="I24:L24" si="13">I12+I22</f>
        <v>303923.83919038344</v>
      </c>
      <c r="J24" s="627">
        <f t="shared" si="13"/>
        <v>327515.71784772945</v>
      </c>
      <c r="K24" s="627">
        <f t="shared" si="13"/>
        <v>350838.58170008648</v>
      </c>
      <c r="L24" s="627">
        <f t="shared" si="13"/>
        <v>367131.40877737617</v>
      </c>
    </row>
    <row r="25" spans="1:13" ht="15.75" thickTop="1">
      <c r="A25" s="1"/>
      <c r="H25" s="353"/>
      <c r="I25" s="353"/>
      <c r="J25" s="353"/>
      <c r="K25" s="353"/>
      <c r="L25" s="353"/>
    </row>
    <row r="26" spans="1:13" hidden="1">
      <c r="A26" s="1" t="s">
        <v>155</v>
      </c>
      <c r="H26" s="353"/>
      <c r="I26" s="353"/>
      <c r="J26" s="353"/>
      <c r="K26" s="353"/>
      <c r="L26" s="353"/>
    </row>
    <row r="27" spans="1:13" hidden="1">
      <c r="H27" s="353"/>
      <c r="I27" s="353"/>
      <c r="J27" s="353"/>
      <c r="K27" s="353"/>
      <c r="L27" s="353"/>
    </row>
    <row r="28" spans="1:13">
      <c r="A28" s="1" t="s">
        <v>40</v>
      </c>
      <c r="H28" s="353"/>
      <c r="I28" s="353"/>
      <c r="J28" s="353"/>
      <c r="K28" s="353"/>
      <c r="L28" s="353"/>
    </row>
    <row r="29" spans="1:13">
      <c r="A29" t="s">
        <v>156</v>
      </c>
      <c r="B29">
        <f>Raw!C118</f>
        <v>21018</v>
      </c>
      <c r="C29">
        <f>Raw!D118</f>
        <v>19928</v>
      </c>
      <c r="D29">
        <f>Raw!E118</f>
        <v>20391</v>
      </c>
      <c r="E29">
        <f>Raw!F118</f>
        <v>27486</v>
      </c>
      <c r="F29">
        <f>Raw!G118</f>
        <v>28114</v>
      </c>
      <c r="G29">
        <f>Raw!H118</f>
        <v>25680</v>
      </c>
      <c r="H29" s="434">
        <f>H75</f>
        <v>32853.641659454377</v>
      </c>
      <c r="I29" s="434">
        <f t="shared" ref="I29:L29" si="14">I75</f>
        <v>36803.092113535502</v>
      </c>
      <c r="J29" s="434">
        <f t="shared" si="14"/>
        <v>41261.611861400481</v>
      </c>
      <c r="K29" s="434">
        <f t="shared" si="14"/>
        <v>46171.169916213679</v>
      </c>
      <c r="L29" s="434">
        <f t="shared" si="14"/>
        <v>51989.478474586089</v>
      </c>
    </row>
    <row r="30" spans="1:13">
      <c r="A30" s="1" t="s">
        <v>158</v>
      </c>
      <c r="H30" s="353"/>
      <c r="I30" s="353"/>
      <c r="J30" s="353"/>
      <c r="K30" s="353"/>
      <c r="L30" s="353"/>
    </row>
    <row r="31" spans="1:13">
      <c r="A31" t="s">
        <v>159</v>
      </c>
      <c r="B31">
        <f>Raw!C120</f>
        <v>1897</v>
      </c>
      <c r="C31">
        <f>Raw!D120</f>
        <v>1276</v>
      </c>
      <c r="D31">
        <f>Raw!E120</f>
        <v>463</v>
      </c>
      <c r="E31">
        <f>Raw!F120</f>
        <v>1959</v>
      </c>
      <c r="F31">
        <f>Raw!G120</f>
        <v>428</v>
      </c>
      <c r="G31">
        <f>Raw!H120</f>
        <v>2141</v>
      </c>
      <c r="H31" s="353"/>
      <c r="I31" s="353"/>
      <c r="J31" s="353"/>
      <c r="K31" s="353"/>
      <c r="L31" s="353"/>
    </row>
    <row r="32" spans="1:13">
      <c r="A32" t="s">
        <v>160</v>
      </c>
      <c r="B32">
        <f>Raw!C121</f>
        <v>35503</v>
      </c>
      <c r="C32">
        <f>Raw!D121</f>
        <v>35637</v>
      </c>
      <c r="D32">
        <f>Raw!E121</f>
        <v>33257</v>
      </c>
      <c r="E32">
        <f>Raw!F121</f>
        <v>36819</v>
      </c>
      <c r="F32">
        <f>Raw!G121</f>
        <v>38540</v>
      </c>
      <c r="G32">
        <f>Raw!H121</f>
        <v>37291</v>
      </c>
      <c r="H32" s="353">
        <f>'Debt Shedule'!I9</f>
        <v>24228</v>
      </c>
      <c r="I32" s="353">
        <f>'Debt Shedule'!J9</f>
        <v>21160</v>
      </c>
      <c r="J32" s="353">
        <f>'Debt Shedule'!K9</f>
        <v>11191</v>
      </c>
      <c r="K32" s="353">
        <f>'Debt Shedule'!L9</f>
        <v>23247</v>
      </c>
      <c r="L32" s="353">
        <f>'Debt Shedule'!M9</f>
        <v>0</v>
      </c>
      <c r="M32" s="711" t="s">
        <v>602</v>
      </c>
    </row>
    <row r="33" spans="1:13">
      <c r="A33" t="s">
        <v>161</v>
      </c>
      <c r="B33">
        <f>Raw!C122</f>
        <v>26487</v>
      </c>
      <c r="C33">
        <f>Raw!D122</f>
        <v>23069</v>
      </c>
      <c r="D33">
        <f>Raw!E122</f>
        <v>20297</v>
      </c>
      <c r="E33">
        <f>Raw!F122</f>
        <v>24909</v>
      </c>
      <c r="F33">
        <f>Raw!G122</f>
        <v>27363</v>
      </c>
      <c r="G33">
        <f>Raw!H122</f>
        <v>31154</v>
      </c>
      <c r="H33" s="353">
        <f>G33</f>
        <v>31154</v>
      </c>
      <c r="I33" s="353">
        <f t="shared" ref="I33:L33" si="15">H33</f>
        <v>31154</v>
      </c>
      <c r="J33" s="353">
        <f t="shared" si="15"/>
        <v>31154</v>
      </c>
      <c r="K33" s="353">
        <f t="shared" si="15"/>
        <v>31154</v>
      </c>
      <c r="L33" s="353">
        <f t="shared" si="15"/>
        <v>31154</v>
      </c>
    </row>
    <row r="34" spans="1:13">
      <c r="A34" s="268" t="s">
        <v>162</v>
      </c>
      <c r="B34" s="142">
        <f t="shared" ref="B34:G34" si="16">SUM(B29:B33)</f>
        <v>84905</v>
      </c>
      <c r="C34" s="142">
        <f t="shared" si="16"/>
        <v>79910</v>
      </c>
      <c r="D34" s="142">
        <f t="shared" si="16"/>
        <v>74408</v>
      </c>
      <c r="E34" s="142">
        <f t="shared" si="16"/>
        <v>91173</v>
      </c>
      <c r="F34" s="142">
        <f t="shared" si="16"/>
        <v>94445</v>
      </c>
      <c r="G34" s="142">
        <f t="shared" si="16"/>
        <v>96266</v>
      </c>
      <c r="H34" s="430">
        <f>SUM(H29:H33)</f>
        <v>88235.641659454384</v>
      </c>
      <c r="I34" s="430">
        <f t="shared" ref="I34:L34" si="17">SUM(I29:I33)</f>
        <v>89117.092113535502</v>
      </c>
      <c r="J34" s="430">
        <f t="shared" si="17"/>
        <v>83606.611861400481</v>
      </c>
      <c r="K34" s="430">
        <f t="shared" si="17"/>
        <v>100572.16991621368</v>
      </c>
      <c r="L34" s="430">
        <f t="shared" si="17"/>
        <v>83143.478474586096</v>
      </c>
    </row>
    <row r="35" spans="1:13" hidden="1">
      <c r="A35" s="13"/>
      <c r="H35" s="353"/>
      <c r="I35" s="353"/>
      <c r="J35" s="353"/>
      <c r="K35" s="353"/>
      <c r="L35" s="353"/>
    </row>
    <row r="36" spans="1:13" hidden="1">
      <c r="A36" s="1" t="s">
        <v>163</v>
      </c>
      <c r="H36" s="353"/>
      <c r="I36" s="353"/>
      <c r="J36" s="353"/>
      <c r="K36" s="353"/>
      <c r="L36" s="353"/>
    </row>
    <row r="37" spans="1:13">
      <c r="A37" s="367" t="s">
        <v>384</v>
      </c>
      <c r="B37">
        <f>Raw!C127</f>
        <v>12489</v>
      </c>
      <c r="C37">
        <f>Raw!D127</f>
        <v>16193</v>
      </c>
      <c r="D37">
        <f>Raw!E127</f>
        <v>16355</v>
      </c>
      <c r="E37">
        <f>Raw!F127</f>
        <v>15885</v>
      </c>
      <c r="F37">
        <f>Raw!G127</f>
        <v>15985</v>
      </c>
      <c r="G37">
        <f>Raw!H127</f>
        <v>13327</v>
      </c>
      <c r="H37" s="353"/>
      <c r="I37" s="353"/>
      <c r="J37" s="353"/>
      <c r="K37" s="353"/>
      <c r="L37" s="353"/>
    </row>
    <row r="38" spans="1:13">
      <c r="A38" s="367" t="s">
        <v>385</v>
      </c>
      <c r="B38">
        <f>Raw!C128</f>
        <v>53435</v>
      </c>
      <c r="C38">
        <f>Raw!D128</f>
        <v>56788</v>
      </c>
      <c r="D38">
        <f>Raw!E128</f>
        <v>59304</v>
      </c>
      <c r="E38">
        <f>Raw!F128</f>
        <v>60036</v>
      </c>
      <c r="F38">
        <f>Raw!G128</f>
        <v>66788</v>
      </c>
      <c r="G38">
        <f>Raw!H128</f>
        <v>76973</v>
      </c>
      <c r="H38" s="353">
        <f>'Debt Shedule'!I10</f>
        <v>90973</v>
      </c>
      <c r="I38" s="353">
        <f>'Debt Shedule'!J10</f>
        <v>89813</v>
      </c>
      <c r="J38" s="353">
        <f>'Debt Shedule'!K10</f>
        <v>98622</v>
      </c>
      <c r="K38" s="353">
        <f>'Debt Shedule'!L10</f>
        <v>81375</v>
      </c>
      <c r="L38" s="353">
        <f>'Debt Shedule'!M10</f>
        <v>87375</v>
      </c>
      <c r="M38" s="711" t="s">
        <v>601</v>
      </c>
    </row>
    <row r="39" spans="1:13">
      <c r="A39" s="1" t="s">
        <v>386</v>
      </c>
      <c r="B39" s="271">
        <f>B37+B38</f>
        <v>65924</v>
      </c>
      <c r="C39" s="271">
        <f t="shared" ref="C39:G39" si="18">C37+C38</f>
        <v>72981</v>
      </c>
      <c r="D39" s="271">
        <f t="shared" si="18"/>
        <v>75659</v>
      </c>
      <c r="E39" s="271">
        <f t="shared" si="18"/>
        <v>75921</v>
      </c>
      <c r="F39" s="271">
        <f t="shared" si="18"/>
        <v>82773</v>
      </c>
      <c r="G39" s="271">
        <f t="shared" si="18"/>
        <v>90300</v>
      </c>
      <c r="H39" s="435">
        <f>H37+H38</f>
        <v>90973</v>
      </c>
      <c r="I39" s="435">
        <f t="shared" ref="I39:L39" si="19">I37+I38</f>
        <v>89813</v>
      </c>
      <c r="J39" s="435">
        <f t="shared" si="19"/>
        <v>98622</v>
      </c>
      <c r="K39" s="435">
        <f t="shared" si="19"/>
        <v>81375</v>
      </c>
      <c r="L39" s="435">
        <f t="shared" si="19"/>
        <v>87375</v>
      </c>
    </row>
    <row r="40" spans="1:13">
      <c r="A40" t="s">
        <v>165</v>
      </c>
      <c r="B40">
        <f>Raw!C129</f>
        <v>5935</v>
      </c>
      <c r="C40">
        <f>Raw!D129</f>
        <v>6277</v>
      </c>
      <c r="D40">
        <f>Raw!E129</f>
        <v>5743</v>
      </c>
      <c r="E40">
        <f>Raw!F129</f>
        <v>4193</v>
      </c>
      <c r="F40">
        <f>Raw!G129</f>
        <v>4345</v>
      </c>
      <c r="G40">
        <f>Raw!H129</f>
        <v>3990</v>
      </c>
      <c r="H40" s="353">
        <f>G40</f>
        <v>3990</v>
      </c>
      <c r="I40" s="353">
        <f t="shared" ref="I40:L40" si="20">H40</f>
        <v>3990</v>
      </c>
      <c r="J40" s="353">
        <f t="shared" si="20"/>
        <v>3990</v>
      </c>
      <c r="K40" s="353">
        <f t="shared" si="20"/>
        <v>3990</v>
      </c>
      <c r="L40" s="353">
        <f t="shared" si="20"/>
        <v>3990</v>
      </c>
    </row>
    <row r="41" spans="1:13">
      <c r="A41" t="s">
        <v>166</v>
      </c>
      <c r="B41">
        <f>Raw!C130</f>
        <v>12170</v>
      </c>
      <c r="C41">
        <f>Raw!D130</f>
        <v>12902</v>
      </c>
      <c r="D41">
        <f>Raw!E130</f>
        <v>8008</v>
      </c>
      <c r="E41">
        <f>Raw!F130</f>
        <v>5698</v>
      </c>
      <c r="F41">
        <f>Raw!G130</f>
        <v>6680</v>
      </c>
      <c r="G41">
        <f>Raw!H130</f>
        <v>5779</v>
      </c>
      <c r="H41" s="353">
        <f>G41</f>
        <v>5779</v>
      </c>
      <c r="I41" s="353">
        <f t="shared" ref="I41:L41" si="21">H41</f>
        <v>5779</v>
      </c>
      <c r="J41" s="353">
        <f t="shared" si="21"/>
        <v>5779</v>
      </c>
      <c r="K41" s="353">
        <f t="shared" si="21"/>
        <v>5779</v>
      </c>
      <c r="L41" s="353">
        <f t="shared" si="21"/>
        <v>5779</v>
      </c>
    </row>
    <row r="42" spans="1:13">
      <c r="A42" t="s">
        <v>167</v>
      </c>
      <c r="B42">
        <f>Raw!C131</f>
        <v>13146</v>
      </c>
      <c r="C42">
        <f>Raw!D131</f>
        <v>13447</v>
      </c>
      <c r="D42">
        <f>Raw!E131</f>
        <v>15085</v>
      </c>
      <c r="E42">
        <f>Raw!F131</f>
        <v>14767</v>
      </c>
      <c r="F42">
        <f>Raw!G131</f>
        <v>16515</v>
      </c>
      <c r="G42">
        <f>Raw!H131</f>
        <v>17836</v>
      </c>
      <c r="H42" s="353">
        <f>G42</f>
        <v>17836</v>
      </c>
      <c r="I42" s="353">
        <f t="shared" ref="I42:L42" si="22">H42</f>
        <v>17836</v>
      </c>
      <c r="J42" s="353">
        <f t="shared" si="22"/>
        <v>17836</v>
      </c>
      <c r="K42" s="353">
        <f t="shared" si="22"/>
        <v>17836</v>
      </c>
      <c r="L42" s="353">
        <f t="shared" si="22"/>
        <v>17836</v>
      </c>
    </row>
    <row r="43" spans="1:13">
      <c r="A43" t="s">
        <v>168</v>
      </c>
      <c r="B43" s="142">
        <f>B39+B40+B41+B42</f>
        <v>97175</v>
      </c>
      <c r="C43" s="142">
        <f t="shared" ref="C43:G43" si="23">C39+C40+C41+C42</f>
        <v>105607</v>
      </c>
      <c r="D43" s="142">
        <f t="shared" si="23"/>
        <v>104495</v>
      </c>
      <c r="E43" s="142">
        <f t="shared" si="23"/>
        <v>100579</v>
      </c>
      <c r="F43" s="142">
        <f t="shared" si="23"/>
        <v>110313</v>
      </c>
      <c r="G43" s="142">
        <f t="shared" si="23"/>
        <v>117905</v>
      </c>
      <c r="H43" s="427">
        <f>SUM(H39:H42)</f>
        <v>118578</v>
      </c>
      <c r="I43" s="427">
        <f t="shared" ref="I43:L43" si="24">SUM(I39:I42)</f>
        <v>117418</v>
      </c>
      <c r="J43" s="427">
        <f t="shared" si="24"/>
        <v>126227</v>
      </c>
      <c r="K43" s="427">
        <f t="shared" si="24"/>
        <v>108980</v>
      </c>
      <c r="L43" s="427">
        <f t="shared" si="24"/>
        <v>114980</v>
      </c>
    </row>
    <row r="44" spans="1:13" hidden="1">
      <c r="H44" s="353"/>
      <c r="I44" s="353"/>
      <c r="J44" s="353"/>
      <c r="K44" s="353"/>
      <c r="L44" s="353"/>
    </row>
    <row r="45" spans="1:13" ht="15.75" thickBot="1">
      <c r="A45" s="1" t="s">
        <v>83</v>
      </c>
      <c r="B45" s="734">
        <f t="shared" ref="B45:G45" si="25">B34+B43</f>
        <v>182080</v>
      </c>
      <c r="C45" s="734">
        <f t="shared" si="25"/>
        <v>185517</v>
      </c>
      <c r="D45" s="734">
        <f t="shared" si="25"/>
        <v>178903</v>
      </c>
      <c r="E45" s="734">
        <f t="shared" si="25"/>
        <v>191752</v>
      </c>
      <c r="F45" s="734">
        <f t="shared" si="25"/>
        <v>204758</v>
      </c>
      <c r="G45" s="734">
        <f t="shared" si="25"/>
        <v>214171</v>
      </c>
      <c r="H45" s="735">
        <f>H34+H43</f>
        <v>206813.64165945438</v>
      </c>
      <c r="I45" s="735">
        <f>I34+I43</f>
        <v>206535.0921135355</v>
      </c>
      <c r="J45" s="735">
        <f>J34+J43</f>
        <v>209833.61186140048</v>
      </c>
      <c r="K45" s="735">
        <f>K34+K43</f>
        <v>209552.16991621366</v>
      </c>
      <c r="L45" s="735">
        <f>L34+L43</f>
        <v>198123.4784745861</v>
      </c>
    </row>
    <row r="46" spans="1:13" ht="15.75" thickTop="1">
      <c r="H46" s="353"/>
      <c r="I46" s="353"/>
      <c r="J46" s="353"/>
      <c r="K46" s="353"/>
      <c r="L46" s="353"/>
    </row>
    <row r="47" spans="1:13" hidden="1">
      <c r="A47" t="s">
        <v>169</v>
      </c>
      <c r="B47">
        <f>Raw!C136</f>
        <v>0</v>
      </c>
      <c r="C47">
        <f>Raw!D136</f>
        <v>0</v>
      </c>
      <c r="D47">
        <f>Raw!E136</f>
        <v>0</v>
      </c>
      <c r="E47">
        <f>Raw!F136</f>
        <v>0</v>
      </c>
      <c r="F47">
        <f>Raw!G136</f>
        <v>0</v>
      </c>
      <c r="G47">
        <f>Raw!H136</f>
        <v>0</v>
      </c>
      <c r="H47" s="353"/>
      <c r="I47" s="353"/>
      <c r="J47" s="353"/>
      <c r="K47" s="353"/>
      <c r="L47" s="353"/>
    </row>
    <row r="48" spans="1:13">
      <c r="A48" t="s">
        <v>170</v>
      </c>
      <c r="B48">
        <f>Raw!C137</f>
        <v>0</v>
      </c>
      <c r="C48">
        <f>Raw!D137</f>
        <v>0</v>
      </c>
      <c r="D48">
        <f>Raw!E137</f>
        <v>0</v>
      </c>
      <c r="E48">
        <f>Raw!F137</f>
        <v>357</v>
      </c>
      <c r="F48">
        <f>Raw!G137</f>
        <v>118</v>
      </c>
      <c r="G48">
        <f>Raw!H137</f>
        <v>0</v>
      </c>
      <c r="H48" s="353"/>
      <c r="I48" s="353"/>
      <c r="J48" s="353"/>
      <c r="K48" s="353"/>
      <c r="L48" s="353"/>
    </row>
    <row r="49" spans="1:18" hidden="1">
      <c r="H49" s="353"/>
      <c r="I49" s="353"/>
      <c r="J49" s="353"/>
      <c r="K49" s="353"/>
      <c r="L49" s="353"/>
    </row>
    <row r="50" spans="1:18" hidden="1">
      <c r="A50" t="s">
        <v>178</v>
      </c>
      <c r="H50" s="353"/>
      <c r="I50" s="353"/>
      <c r="J50" s="353"/>
      <c r="K50" s="353"/>
      <c r="L50" s="353"/>
    </row>
    <row r="51" spans="1:18">
      <c r="A51" t="s">
        <v>177</v>
      </c>
      <c r="B51">
        <f>Raw!C140</f>
        <v>14</v>
      </c>
      <c r="C51">
        <f>Raw!D140</f>
        <v>14</v>
      </c>
      <c r="D51">
        <f>Raw!E140</f>
        <v>15</v>
      </c>
      <c r="E51">
        <f>Raw!F140</f>
        <v>14</v>
      </c>
      <c r="F51">
        <f>Raw!G140</f>
        <v>12</v>
      </c>
      <c r="G51">
        <f>Raw!H140</f>
        <v>10</v>
      </c>
      <c r="H51" s="353">
        <f>G51</f>
        <v>10</v>
      </c>
      <c r="I51" s="353">
        <f t="shared" ref="I51:L51" si="26">H51</f>
        <v>10</v>
      </c>
      <c r="J51" s="353">
        <f t="shared" si="26"/>
        <v>10</v>
      </c>
      <c r="K51" s="353">
        <f t="shared" si="26"/>
        <v>10</v>
      </c>
      <c r="L51" s="353">
        <f t="shared" si="26"/>
        <v>10</v>
      </c>
    </row>
    <row r="52" spans="1:18">
      <c r="A52" t="s">
        <v>171</v>
      </c>
      <c r="B52">
        <f>Raw!C141</f>
        <v>26074</v>
      </c>
      <c r="C52">
        <f>Raw!D141</f>
        <v>26542</v>
      </c>
      <c r="D52">
        <f>Raw!E141</f>
        <v>27061</v>
      </c>
      <c r="E52">
        <f>Raw!F141</f>
        <v>26428</v>
      </c>
      <c r="F52">
        <f>Raw!G141</f>
        <v>19130</v>
      </c>
      <c r="G52">
        <f>Raw!H141</f>
        <v>20843</v>
      </c>
      <c r="H52" s="354">
        <f>G52+'GM-IS'!H98</f>
        <v>21335.969726300798</v>
      </c>
      <c r="I52" s="354">
        <f>H52+'GM-IS'!I98</f>
        <v>21888.201056827034</v>
      </c>
      <c r="J52" s="354">
        <f>I52+'GM-IS'!J98</f>
        <v>22507.332589242433</v>
      </c>
      <c r="K52" s="354">
        <f>J52+'GM-IS'!K98</f>
        <v>23202.030245810402</v>
      </c>
      <c r="L52" s="354">
        <f>K52+'GM-IS'!L98</f>
        <v>23982.133688825907</v>
      </c>
    </row>
    <row r="53" spans="1:18">
      <c r="A53" t="s">
        <v>172</v>
      </c>
      <c r="B53">
        <f>Raw!C142</f>
        <v>26860</v>
      </c>
      <c r="C53">
        <f>Raw!D142</f>
        <v>31962</v>
      </c>
      <c r="D53">
        <f>Raw!E142</f>
        <v>41937</v>
      </c>
      <c r="E53">
        <f>Raw!F142</f>
        <v>49251</v>
      </c>
      <c r="F53">
        <f>Raw!G142</f>
        <v>55391</v>
      </c>
      <c r="G53">
        <f>Raw!H142</f>
        <v>53472</v>
      </c>
      <c r="H53" s="428">
        <f>G53+'GM-IS'!H68-'GM-IS'!H70</f>
        <v>67253.478556517992</v>
      </c>
      <c r="I53" s="428">
        <f>H53+'GM-IS'!I68-'GM-IS'!I70</f>
        <v>83879.647967007157</v>
      </c>
      <c r="J53" s="428">
        <f>I53+'GM-IS'!J68-'GM-IS'!J70</f>
        <v>103332.59104274868</v>
      </c>
      <c r="K53" s="428">
        <f>J53+'GM-IS'!K68-'GM-IS'!K70</f>
        <v>125984.52519562213</v>
      </c>
      <c r="L53" s="428">
        <f>K53+'GM-IS'!L68-'GM-IS'!L70</f>
        <v>152622.9188568836</v>
      </c>
    </row>
    <row r="54" spans="1:18">
      <c r="A54" t="s">
        <v>173</v>
      </c>
      <c r="B54">
        <f>Raw!C143</f>
        <v>-11156</v>
      </c>
      <c r="C54">
        <f>Raw!D143</f>
        <v>-13488</v>
      </c>
      <c r="D54">
        <f>Raw!E143</f>
        <v>-9269</v>
      </c>
      <c r="E54">
        <f>Raw!F143</f>
        <v>-7901</v>
      </c>
      <c r="F54">
        <f>Raw!G143</f>
        <v>-10247</v>
      </c>
      <c r="G54">
        <f>Raw!H143</f>
        <v>-11253</v>
      </c>
      <c r="H54" s="353">
        <f>G54</f>
        <v>-11253</v>
      </c>
      <c r="I54" s="353">
        <f t="shared" ref="I54:L54" si="27">H54</f>
        <v>-11253</v>
      </c>
      <c r="J54" s="353">
        <f t="shared" si="27"/>
        <v>-11253</v>
      </c>
      <c r="K54" s="353">
        <f t="shared" si="27"/>
        <v>-11253</v>
      </c>
      <c r="L54" s="353">
        <f t="shared" si="27"/>
        <v>-11253</v>
      </c>
    </row>
    <row r="55" spans="1:18">
      <c r="A55" s="1" t="s">
        <v>174</v>
      </c>
      <c r="B55" s="271">
        <f t="shared" ref="B55:G55" si="28">SUM(B51:B54)</f>
        <v>41792</v>
      </c>
      <c r="C55" s="271">
        <f t="shared" si="28"/>
        <v>45030</v>
      </c>
      <c r="D55" s="271">
        <f t="shared" si="28"/>
        <v>59744</v>
      </c>
      <c r="E55" s="271">
        <f t="shared" si="28"/>
        <v>67792</v>
      </c>
      <c r="F55" s="271">
        <f t="shared" si="28"/>
        <v>64286</v>
      </c>
      <c r="G55" s="271">
        <f t="shared" si="28"/>
        <v>63072</v>
      </c>
      <c r="H55" s="429">
        <f>SUM(H51:H54)</f>
        <v>77346.44828281879</v>
      </c>
      <c r="I55" s="429">
        <f t="shared" ref="I55:L55" si="29">SUM(I51:I54)</f>
        <v>94524.849023834191</v>
      </c>
      <c r="J55" s="429">
        <f t="shared" si="29"/>
        <v>114596.92363199111</v>
      </c>
      <c r="K55" s="429">
        <f t="shared" si="29"/>
        <v>137943.55544143255</v>
      </c>
      <c r="L55" s="429">
        <f t="shared" si="29"/>
        <v>165362.05254570951</v>
      </c>
    </row>
    <row r="56" spans="1:18">
      <c r="A56" t="s">
        <v>175</v>
      </c>
      <c r="B56">
        <f>Raw!C145</f>
        <v>4165</v>
      </c>
      <c r="C56">
        <f>Raw!D145</f>
        <v>4647</v>
      </c>
      <c r="D56">
        <f>Raw!E145</f>
        <v>6071</v>
      </c>
      <c r="E56">
        <f>Raw!F145</f>
        <v>4135</v>
      </c>
      <c r="F56">
        <f>Raw!G145</f>
        <v>3903</v>
      </c>
      <c r="G56">
        <f>Raw!H145</f>
        <v>2518</v>
      </c>
      <c r="H56" s="354">
        <f>G56+'GM-IS'!H65</f>
        <v>2674.7693300554774</v>
      </c>
      <c r="I56" s="354">
        <f>H56+'GM-IS'!I65</f>
        <v>2863.8980530137642</v>
      </c>
      <c r="J56" s="354">
        <f>I56+'GM-IS'!J65</f>
        <v>3085.1823543378055</v>
      </c>
      <c r="K56" s="354">
        <f>J56+'GM-IS'!K65</f>
        <v>3342.8563424402828</v>
      </c>
      <c r="L56" s="354">
        <f>K56+'GM-IS'!L65</f>
        <v>3645.8777570805105</v>
      </c>
    </row>
    <row r="57" spans="1:18" hidden="1">
      <c r="H57" s="353"/>
      <c r="I57" s="353"/>
      <c r="J57" s="353"/>
      <c r="K57" s="353"/>
      <c r="L57" s="353"/>
    </row>
    <row r="58" spans="1:18">
      <c r="A58" s="1" t="s">
        <v>41</v>
      </c>
      <c r="B58" s="142">
        <f t="shared" ref="B58:G58" si="30">B55+B56</f>
        <v>45957</v>
      </c>
      <c r="C58" s="142">
        <f t="shared" si="30"/>
        <v>49677</v>
      </c>
      <c r="D58" s="142">
        <f t="shared" si="30"/>
        <v>65815</v>
      </c>
      <c r="E58" s="142">
        <f t="shared" si="30"/>
        <v>71927</v>
      </c>
      <c r="F58" s="142">
        <f t="shared" si="30"/>
        <v>68189</v>
      </c>
      <c r="G58" s="142">
        <f t="shared" si="30"/>
        <v>65590</v>
      </c>
      <c r="H58" s="430">
        <f>H55+H56</f>
        <v>80021.217612874272</v>
      </c>
      <c r="I58" s="430">
        <f t="shared" ref="I58:L58" si="31">I55+I56</f>
        <v>97388.747076847954</v>
      </c>
      <c r="J58" s="430">
        <f t="shared" si="31"/>
        <v>117682.10598632893</v>
      </c>
      <c r="K58" s="430">
        <f t="shared" si="31"/>
        <v>141286.41178387284</v>
      </c>
      <c r="L58" s="430">
        <f t="shared" si="31"/>
        <v>169007.93030279002</v>
      </c>
    </row>
    <row r="59" spans="1:18" ht="15.75" thickBot="1">
      <c r="B59" s="103"/>
      <c r="C59" s="103"/>
      <c r="D59" s="103"/>
      <c r="E59" s="103"/>
      <c r="F59" s="103"/>
      <c r="G59" s="103"/>
      <c r="H59" s="628"/>
      <c r="I59" s="628"/>
      <c r="J59" s="628"/>
      <c r="K59" s="628"/>
      <c r="L59" s="628"/>
    </row>
    <row r="60" spans="1:18" ht="16.5" thickTop="1" thickBot="1">
      <c r="A60" s="1" t="s">
        <v>197</v>
      </c>
      <c r="B60" s="704">
        <f>B45+B58+B48</f>
        <v>228037</v>
      </c>
      <c r="C60" s="704">
        <f t="shared" ref="C60:L60" si="32">C45+C58+C48</f>
        <v>235194</v>
      </c>
      <c r="D60" s="704">
        <f t="shared" si="32"/>
        <v>244718</v>
      </c>
      <c r="E60" s="704">
        <f t="shared" si="32"/>
        <v>264036</v>
      </c>
      <c r="F60" s="704">
        <f t="shared" si="32"/>
        <v>273065</v>
      </c>
      <c r="G60" s="704">
        <f t="shared" si="32"/>
        <v>279761</v>
      </c>
      <c r="H60" s="704">
        <f t="shared" si="32"/>
        <v>286834.85927232867</v>
      </c>
      <c r="I60" s="704">
        <f t="shared" si="32"/>
        <v>303923.83919038344</v>
      </c>
      <c r="J60" s="704">
        <f t="shared" si="32"/>
        <v>327515.71784772939</v>
      </c>
      <c r="K60" s="704">
        <f t="shared" si="32"/>
        <v>350838.58170008648</v>
      </c>
      <c r="L60" s="704">
        <f t="shared" si="32"/>
        <v>367131.40877737611</v>
      </c>
      <c r="N60" s="57"/>
      <c r="O60" s="57"/>
      <c r="P60" s="57"/>
      <c r="Q60" s="57"/>
      <c r="R60" s="57"/>
    </row>
    <row r="61" spans="1:18" ht="15.75" thickTop="1">
      <c r="H61" s="353"/>
      <c r="I61" s="353"/>
      <c r="J61" s="353"/>
      <c r="K61" s="353"/>
      <c r="L61" s="353"/>
    </row>
    <row r="62" spans="1:18">
      <c r="A62" s="367" t="s">
        <v>383</v>
      </c>
      <c r="B62">
        <f t="shared" ref="B62:F62" si="33">B24-B60</f>
        <v>0</v>
      </c>
      <c r="C62">
        <f t="shared" si="33"/>
        <v>0</v>
      </c>
      <c r="D62">
        <f t="shared" si="33"/>
        <v>0</v>
      </c>
      <c r="E62">
        <f>E24-E60</f>
        <v>0</v>
      </c>
      <c r="F62">
        <f t="shared" si="33"/>
        <v>0</v>
      </c>
      <c r="G62">
        <f>G24-G60</f>
        <v>0</v>
      </c>
      <c r="H62" s="354">
        <f>H60-H24</f>
        <v>0</v>
      </c>
      <c r="I62" s="354">
        <f t="shared" ref="I62:L62" si="34">I60-I24</f>
        <v>0</v>
      </c>
      <c r="J62" s="354">
        <f t="shared" si="34"/>
        <v>0</v>
      </c>
      <c r="K62" s="354">
        <f t="shared" si="34"/>
        <v>0</v>
      </c>
      <c r="L62" s="354">
        <f t="shared" si="34"/>
        <v>0</v>
      </c>
    </row>
    <row r="63" spans="1:18">
      <c r="H63" s="353"/>
      <c r="I63" s="353"/>
      <c r="J63" s="353"/>
      <c r="K63" s="353"/>
      <c r="L63" s="353"/>
    </row>
    <row r="64" spans="1:18">
      <c r="H64" s="353"/>
      <c r="I64" s="353"/>
      <c r="J64" s="353"/>
      <c r="K64" s="353"/>
      <c r="L64" s="353"/>
    </row>
    <row r="65" spans="1:12">
      <c r="A65" s="348" t="s">
        <v>307</v>
      </c>
      <c r="H65" s="353"/>
      <c r="I65" s="353"/>
      <c r="J65" s="353"/>
      <c r="K65" s="353"/>
      <c r="L65" s="353"/>
    </row>
    <row r="66" spans="1:12">
      <c r="A66" s="349" t="s">
        <v>308</v>
      </c>
      <c r="H66" s="353"/>
      <c r="I66" s="353"/>
      <c r="J66" s="353"/>
      <c r="K66" s="353"/>
      <c r="L66" s="353"/>
    </row>
    <row r="67" spans="1:12">
      <c r="A67" s="15" t="s">
        <v>309</v>
      </c>
      <c r="B67">
        <f t="shared" ref="B67:G67" si="35">B8</f>
        <v>6797</v>
      </c>
      <c r="C67">
        <f t="shared" si="35"/>
        <v>8035</v>
      </c>
      <c r="D67">
        <f t="shared" si="35"/>
        <v>7394</v>
      </c>
      <c r="E67">
        <f t="shared" si="35"/>
        <v>13333</v>
      </c>
      <c r="F67">
        <f t="shared" si="35"/>
        <v>12378</v>
      </c>
      <c r="G67">
        <f t="shared" si="35"/>
        <v>12827</v>
      </c>
      <c r="H67" s="354">
        <f>($H$68*'GM-IS'!H8)/(H4-G4)</f>
        <v>15771.598415549888</v>
      </c>
      <c r="I67" s="354">
        <f>($H$68*'GM-IS'!I8)/(I4-H4)</f>
        <v>17667.557078809779</v>
      </c>
      <c r="J67" s="354">
        <f>($H$68*'GM-IS'!J8)/(J4-I4)</f>
        <v>19807.897675447708</v>
      </c>
      <c r="K67" s="354">
        <f>($H$68*'GM-IS'!K8)/(K4-J4)</f>
        <v>22164.762063297367</v>
      </c>
      <c r="L67" s="354">
        <f>($H$68*'GM-IS'!L8)/(L4-K4)</f>
        <v>24957.8778765028</v>
      </c>
    </row>
    <row r="68" spans="1:12">
      <c r="A68" s="3" t="s">
        <v>310</v>
      </c>
      <c r="B68" s="351">
        <f>(365*B67)/'GM-IS'!B8</f>
        <v>18.077522825477093</v>
      </c>
      <c r="C68" s="351">
        <f>(365*C67)/'GM-IS'!C8</f>
        <v>23.943952320692329</v>
      </c>
      <c r="D68" s="351">
        <f>(365*D67)/'GM-IS'!D8</f>
        <v>21.249803155806116</v>
      </c>
      <c r="E68" s="351">
        <f>(365*E67)/'GM-IS'!E8</f>
        <v>31.049510319966824</v>
      </c>
      <c r="F68" s="351">
        <f>(365*F67)/'GM-IS'!F8</f>
        <v>26.291418861512319</v>
      </c>
      <c r="G68" s="351">
        <f>(365*G67)/'GM-IS'!G8</f>
        <v>24.977619743707386</v>
      </c>
      <c r="H68" s="352">
        <f>AVERAGE(E68:G68)</f>
        <v>27.439516308395508</v>
      </c>
      <c r="I68" s="353"/>
      <c r="J68" s="353"/>
      <c r="K68" s="353"/>
      <c r="L68" s="353"/>
    </row>
    <row r="69" spans="1:12">
      <c r="A69" s="348" t="s">
        <v>311</v>
      </c>
      <c r="B69">
        <f>B10</f>
        <v>10398</v>
      </c>
      <c r="C69">
        <f t="shared" ref="C69:G69" si="36">C10</f>
        <v>10235</v>
      </c>
      <c r="D69">
        <f t="shared" si="36"/>
        <v>12988</v>
      </c>
      <c r="E69">
        <f t="shared" si="36"/>
        <v>15366</v>
      </c>
      <c r="F69">
        <f t="shared" si="36"/>
        <v>16461</v>
      </c>
      <c r="G69">
        <f t="shared" si="36"/>
        <v>14564</v>
      </c>
      <c r="H69" s="354">
        <f>($H$70*'GM-IS'!H13)/(H4-G4)</f>
        <v>18737.331924677579</v>
      </c>
      <c r="I69" s="354">
        <f>($H$70*'GM-IS'!I13)/(I4-H4)</f>
        <v>20989.811721141508</v>
      </c>
      <c r="J69" s="354">
        <f>($H$70*'GM-IS'!J13)/(J4-I4)</f>
        <v>23532.62768274542</v>
      </c>
      <c r="K69" s="354">
        <f>($H$70*'GM-IS'!K13)/(K4-J4)</f>
        <v>26332.683147830721</v>
      </c>
      <c r="L69" s="354">
        <f>($H$70*'GM-IS'!L13)/(L4-K4)</f>
        <v>29651.023921997028</v>
      </c>
    </row>
    <row r="70" spans="1:12">
      <c r="A70" s="3" t="s">
        <v>312</v>
      </c>
      <c r="B70" s="351">
        <f>(365*B69)/'GM-IS'!B13</f>
        <v>34.738995524068429</v>
      </c>
      <c r="C70" s="351">
        <f>(365*C69)/'GM-IS'!C13</f>
        <v>38.848765624675025</v>
      </c>
      <c r="D70" s="351">
        <f>(365*D69)/'GM-IS'!D13</f>
        <v>48.822039134912458</v>
      </c>
      <c r="E70" s="351">
        <f>(365*E69)/'GM-IS'!E13</f>
        <v>45.049277504236983</v>
      </c>
      <c r="F70" s="351">
        <f>(365*F69)/'GM-IS'!F13</f>
        <v>42.615435356200528</v>
      </c>
      <c r="G70" s="351">
        <f>(365*G69)/'GM-IS'!G13</f>
        <v>34.821336163132692</v>
      </c>
      <c r="H70" s="352">
        <f>AVERAGE(E70:G70)</f>
        <v>40.828683007856732</v>
      </c>
      <c r="I70" s="353"/>
      <c r="J70" s="353"/>
      <c r="K70" s="353"/>
      <c r="L70" s="353"/>
    </row>
    <row r="71" spans="1:12">
      <c r="A71" s="348" t="s">
        <v>313</v>
      </c>
      <c r="B71">
        <f>B11</f>
        <v>7953</v>
      </c>
      <c r="C71">
        <f t="shared" ref="C71:G71" si="37">C11</f>
        <v>7407</v>
      </c>
      <c r="D71">
        <f t="shared" si="37"/>
        <v>6396</v>
      </c>
      <c r="E71">
        <f t="shared" si="37"/>
        <v>6825</v>
      </c>
      <c r="F71">
        <f t="shared" si="37"/>
        <v>7238</v>
      </c>
      <c r="G71">
        <f t="shared" si="37"/>
        <v>7655</v>
      </c>
      <c r="H71" s="354">
        <f>$H$72*'GM-IS'!H8</f>
        <v>8846.589869833786</v>
      </c>
      <c r="I71" s="354">
        <f>$H$72*'GM-IS'!I8</f>
        <v>9910.0691863932025</v>
      </c>
      <c r="J71" s="354">
        <f>$H$72*'GM-IS'!J8</f>
        <v>11110.626982839663</v>
      </c>
      <c r="K71" s="354">
        <f>$H$72*'GM-IS'!K8</f>
        <v>12466.699116208003</v>
      </c>
      <c r="L71" s="354">
        <f>$H$72*'GM-IS'!L8</f>
        <v>13999.348942154786</v>
      </c>
    </row>
    <row r="72" spans="1:12">
      <c r="A72" s="3" t="s">
        <v>314</v>
      </c>
      <c r="B72" s="9">
        <f>B71/'GM-IS'!B8</f>
        <v>5.7950844160102599E-2</v>
      </c>
      <c r="C72" s="9">
        <f>C71/'GM-IS'!C8</f>
        <v>6.0472710944197247E-2</v>
      </c>
      <c r="D72" s="9">
        <f>D71/'GM-IS'!D8</f>
        <v>5.0360618563194862E-2</v>
      </c>
      <c r="E72" s="9">
        <f>E71/'GM-IS'!E8</f>
        <v>4.3544836826490574E-2</v>
      </c>
      <c r="F72" s="9">
        <f>F71/'GM-IS'!F8</f>
        <v>4.212008705671489E-2</v>
      </c>
      <c r="G72" s="9">
        <f>G71/'GM-IS'!G8</f>
        <v>4.0839299623350159E-2</v>
      </c>
      <c r="H72" s="355">
        <f>AVERAGE(E72:G72)</f>
        <v>4.2168074502185203E-2</v>
      </c>
      <c r="I72" s="353"/>
      <c r="J72" s="353"/>
      <c r="K72" s="353"/>
      <c r="L72" s="353"/>
    </row>
    <row r="73" spans="1:12">
      <c r="A73" s="350"/>
      <c r="H73" s="353"/>
      <c r="I73" s="353"/>
      <c r="J73" s="353"/>
      <c r="K73" s="353"/>
      <c r="L73" s="353"/>
    </row>
    <row r="74" spans="1:12">
      <c r="A74" s="349" t="s">
        <v>315</v>
      </c>
      <c r="H74" s="353"/>
      <c r="I74" s="353"/>
      <c r="J74" s="353"/>
      <c r="K74" s="353"/>
      <c r="L74" s="353"/>
    </row>
    <row r="75" spans="1:12">
      <c r="A75" s="348" t="str">
        <f>A29</f>
        <v>Accounts payable (principally trade)</v>
      </c>
      <c r="B75">
        <f>B29</f>
        <v>21018</v>
      </c>
      <c r="C75">
        <f t="shared" ref="C75:G75" si="38">C29</f>
        <v>19928</v>
      </c>
      <c r="D75">
        <f t="shared" si="38"/>
        <v>20391</v>
      </c>
      <c r="E75">
        <f t="shared" si="38"/>
        <v>27486</v>
      </c>
      <c r="F75">
        <f t="shared" si="38"/>
        <v>28114</v>
      </c>
      <c r="G75">
        <f t="shared" si="38"/>
        <v>25680</v>
      </c>
      <c r="H75" s="354">
        <f>($H$76*'GM-IS'!H13)/(H4-G4)</f>
        <v>32853.641659454377</v>
      </c>
      <c r="I75" s="354">
        <f>($H$76*'GM-IS'!I13)/(I4-H4)</f>
        <v>36803.092113535502</v>
      </c>
      <c r="J75" s="354">
        <f>($H$76*'GM-IS'!J13)/(J4-I4)</f>
        <v>41261.611861400481</v>
      </c>
      <c r="K75" s="354">
        <f>($H$76*'GM-IS'!K13)/(K4-J4)</f>
        <v>46171.169916213679</v>
      </c>
      <c r="L75" s="354">
        <f>($H$76*'GM-IS'!L13)/(L4-K4)</f>
        <v>51989.478474586089</v>
      </c>
    </row>
    <row r="76" spans="1:12">
      <c r="A76" s="3" t="s">
        <v>316</v>
      </c>
      <c r="B76" s="351">
        <f>(365*B75)/('GM-IS'!B13)</f>
        <v>70.219677623088117</v>
      </c>
      <c r="C76" s="351">
        <f>(365*C75)/('GM-IS'!C13)</f>
        <v>75.640273704789834</v>
      </c>
      <c r="D76" s="351">
        <f>(365*D75)/('GM-IS'!D13)</f>
        <v>76.650000000000006</v>
      </c>
      <c r="E76" s="351">
        <f>(365*E75)/('GM-IS'!E13)</f>
        <v>80.582093028859674</v>
      </c>
      <c r="F76" s="351">
        <f>(365*F75)/('GM-IS'!F13)</f>
        <v>72.78357023292763</v>
      </c>
      <c r="G76" s="351">
        <f>(365*G75)/('GM-IS'!G13)</f>
        <v>61.398785544441608</v>
      </c>
      <c r="H76" s="352">
        <f>AVERAGE(E76:G76)</f>
        <v>71.5881496020763</v>
      </c>
      <c r="I76" s="353"/>
      <c r="J76" s="353"/>
      <c r="K76" s="353"/>
      <c r="L76" s="353"/>
    </row>
    <row r="77" spans="1:12">
      <c r="A77" s="13"/>
      <c r="H77" s="353"/>
      <c r="I77" s="353"/>
      <c r="J77" s="353"/>
      <c r="K77" s="353"/>
      <c r="L77" s="353"/>
    </row>
    <row r="78" spans="1:12">
      <c r="A78" s="3" t="s">
        <v>317</v>
      </c>
      <c r="B78" s="57">
        <f>B67+B69+B71-B75</f>
        <v>4130</v>
      </c>
      <c r="C78" s="57">
        <f t="shared" ref="C78:L78" si="39">C67+C69+C71-C75</f>
        <v>5749</v>
      </c>
      <c r="D78" s="57">
        <f t="shared" si="39"/>
        <v>6387</v>
      </c>
      <c r="E78" s="57">
        <f t="shared" si="39"/>
        <v>8038</v>
      </c>
      <c r="F78" s="57">
        <f t="shared" si="39"/>
        <v>7963</v>
      </c>
      <c r="G78" s="57">
        <f t="shared" si="39"/>
        <v>9366</v>
      </c>
      <c r="H78" s="57">
        <f t="shared" si="39"/>
        <v>10501.878550606874</v>
      </c>
      <c r="I78" s="57">
        <f t="shared" si="39"/>
        <v>11764.34587280899</v>
      </c>
      <c r="J78" s="57">
        <f t="shared" si="39"/>
        <v>13189.540479632313</v>
      </c>
      <c r="K78" s="57">
        <f t="shared" si="39"/>
        <v>14792.974411122406</v>
      </c>
      <c r="L78" s="57">
        <f t="shared" si="39"/>
        <v>16618.772266068532</v>
      </c>
    </row>
    <row r="79" spans="1:12">
      <c r="A79" s="3" t="s">
        <v>318</v>
      </c>
      <c r="H79" s="354">
        <f>H78-G78</f>
        <v>1135.8785506068743</v>
      </c>
      <c r="I79" s="354">
        <f t="shared" ref="I79:L79" si="40">I78-H78</f>
        <v>1262.4673222021156</v>
      </c>
      <c r="J79" s="354">
        <f t="shared" si="40"/>
        <v>1425.1946068233228</v>
      </c>
      <c r="K79" s="354">
        <f t="shared" si="40"/>
        <v>1603.4339314900935</v>
      </c>
      <c r="L79" s="354">
        <f t="shared" si="40"/>
        <v>1825.7978549461259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32"/>
  <sheetViews>
    <sheetView workbookViewId="0">
      <selection activeCell="S33" sqref="S33"/>
    </sheetView>
  </sheetViews>
  <sheetFormatPr defaultColWidth="9" defaultRowHeight="15"/>
  <cols>
    <col min="2" max="2" width="49.5703125" bestFit="1" customWidth="1"/>
    <col min="3" max="3" width="2.42578125" style="273" hidden="1" customWidth="1"/>
    <col min="4" max="4" width="2.5703125" style="273" hidden="1" customWidth="1"/>
    <col min="5" max="5" width="2.140625" style="273" hidden="1" customWidth="1"/>
    <col min="6" max="6" width="1.42578125" style="273" hidden="1" customWidth="1"/>
    <col min="7" max="8" width="1.85546875" style="273" hidden="1" customWidth="1"/>
    <col min="9" max="13" width="10.42578125" bestFit="1" customWidth="1"/>
  </cols>
  <sheetData>
    <row r="2" spans="1:14">
      <c r="A2" s="273"/>
      <c r="B2" s="744" t="s">
        <v>295</v>
      </c>
      <c r="C2" s="745"/>
      <c r="D2" s="745"/>
      <c r="E2" s="745"/>
      <c r="F2" s="745"/>
      <c r="G2" s="745"/>
      <c r="H2" s="745"/>
      <c r="I2" s="745"/>
      <c r="J2" s="745"/>
      <c r="K2" s="745"/>
      <c r="L2" s="745"/>
      <c r="M2" s="746"/>
      <c r="N2" s="273"/>
    </row>
    <row r="3" spans="1:14">
      <c r="A3" s="273"/>
      <c r="B3" s="747" t="s">
        <v>20</v>
      </c>
      <c r="I3" s="273"/>
      <c r="J3" s="273"/>
      <c r="K3" s="273"/>
      <c r="L3" s="273"/>
      <c r="M3" s="748"/>
      <c r="N3" s="273"/>
    </row>
    <row r="4" spans="1:14">
      <c r="A4" s="273"/>
      <c r="B4" s="789" t="s">
        <v>276</v>
      </c>
      <c r="I4" s="12">
        <v>12</v>
      </c>
      <c r="J4" s="12">
        <v>12</v>
      </c>
      <c r="K4" s="12">
        <v>12</v>
      </c>
      <c r="L4" s="12">
        <v>12</v>
      </c>
      <c r="M4" s="749">
        <v>12</v>
      </c>
    </row>
    <row r="5" spans="1:14">
      <c r="A5" s="273"/>
      <c r="B5" s="789"/>
      <c r="I5" s="316">
        <v>46022</v>
      </c>
      <c r="J5" s="316">
        <v>46387</v>
      </c>
      <c r="K5" s="316">
        <v>46752</v>
      </c>
      <c r="L5" s="316">
        <v>47118</v>
      </c>
      <c r="M5" s="750">
        <v>47483</v>
      </c>
    </row>
    <row r="6" spans="1:14">
      <c r="A6" s="273"/>
      <c r="B6" s="751"/>
      <c r="C6" s="738"/>
      <c r="D6" s="738"/>
      <c r="E6" s="738"/>
      <c r="F6" s="738"/>
      <c r="G6" s="738"/>
      <c r="H6" s="738"/>
      <c r="I6" s="738"/>
      <c r="J6" s="273"/>
      <c r="K6" s="273"/>
      <c r="L6" s="273"/>
      <c r="M6" s="748"/>
    </row>
    <row r="7" spans="1:14">
      <c r="A7" s="273"/>
      <c r="B7" s="752" t="s">
        <v>277</v>
      </c>
      <c r="C7" s="738"/>
      <c r="D7" s="738"/>
      <c r="E7" s="738"/>
      <c r="F7" s="738"/>
      <c r="G7" s="738"/>
      <c r="H7" s="738"/>
      <c r="I7" s="738"/>
      <c r="J7" s="273"/>
      <c r="K7" s="273"/>
      <c r="L7" s="273"/>
      <c r="M7" s="748"/>
    </row>
    <row r="8" spans="1:14">
      <c r="A8" s="273"/>
      <c r="B8" s="753" t="s">
        <v>278</v>
      </c>
      <c r="C8" s="738"/>
      <c r="D8" s="738"/>
      <c r="E8" s="738"/>
      <c r="F8" s="738"/>
      <c r="G8" s="738"/>
      <c r="H8" s="738"/>
      <c r="I8" s="738">
        <f>'GM-IS'!H61</f>
        <v>14391.180781805735</v>
      </c>
      <c r="J8" s="738">
        <f>'GM-IS'!I61</f>
        <v>17361.722743610451</v>
      </c>
      <c r="K8" s="738">
        <f>'GM-IS'!J61</f>
        <v>20313.554847768413</v>
      </c>
      <c r="L8" s="738">
        <f>'GM-IS'!K61</f>
        <v>23654.071521766018</v>
      </c>
      <c r="M8" s="754">
        <f>'GM-IS'!L61</f>
        <v>27816.894779755803</v>
      </c>
    </row>
    <row r="9" spans="1:14">
      <c r="A9" s="273"/>
      <c r="B9" s="753" t="s">
        <v>279</v>
      </c>
      <c r="C9" s="738"/>
      <c r="D9" s="738"/>
      <c r="E9" s="738"/>
      <c r="F9" s="738"/>
      <c r="G9" s="738"/>
      <c r="H9" s="738"/>
      <c r="I9" s="738">
        <f>'GM-IS'!H32</f>
        <v>10492.051484953085</v>
      </c>
      <c r="J9" s="738">
        <f>'GM-IS'!I32</f>
        <v>11735.360250786751</v>
      </c>
      <c r="K9" s="738">
        <f>'GM-IS'!J32</f>
        <v>13139.413037488419</v>
      </c>
      <c r="L9" s="738">
        <f>'GM-IS'!K32</f>
        <v>14725.814856061972</v>
      </c>
      <c r="M9" s="754">
        <f>'GM-IS'!L32</f>
        <v>16519.250276026523</v>
      </c>
    </row>
    <row r="10" spans="1:14">
      <c r="A10" s="273"/>
      <c r="B10" s="753" t="s">
        <v>280</v>
      </c>
      <c r="C10" s="738"/>
      <c r="D10" s="738"/>
      <c r="E10" s="738"/>
      <c r="F10" s="738"/>
      <c r="G10" s="738"/>
      <c r="H10" s="738"/>
      <c r="I10" s="738">
        <f>'GM-IS'!H98</f>
        <v>492.96972630079887</v>
      </c>
      <c r="J10" s="738">
        <f>'GM-IS'!I98</f>
        <v>552.23133052623655</v>
      </c>
      <c r="K10" s="738">
        <f>'GM-IS'!J98</f>
        <v>619.13153241539931</v>
      </c>
      <c r="L10" s="738">
        <f>'GM-IS'!K98</f>
        <v>694.69765656796972</v>
      </c>
      <c r="M10" s="754">
        <f>'GM-IS'!L98</f>
        <v>780.10344301550492</v>
      </c>
    </row>
    <row r="11" spans="1:14">
      <c r="A11" s="273"/>
      <c r="B11" s="753" t="s">
        <v>281</v>
      </c>
      <c r="C11" s="738"/>
      <c r="D11" s="738"/>
      <c r="E11" s="738"/>
      <c r="F11" s="738"/>
      <c r="G11" s="738"/>
      <c r="H11" s="738"/>
      <c r="I11" s="738">
        <f>'GM-IS'!H43</f>
        <v>7103.0570000000007</v>
      </c>
      <c r="J11" s="738">
        <f>'GM-IS'!I43</f>
        <v>6559.0459999999994</v>
      </c>
      <c r="K11" s="738">
        <f>'GM-IS'!J43</f>
        <v>6402.7940000000008</v>
      </c>
      <c r="L11" s="738">
        <f>'GM-IS'!K43</f>
        <v>6218.6150000000007</v>
      </c>
      <c r="M11" s="754">
        <f>'GM-IS'!L43</f>
        <v>5567.9130000000005</v>
      </c>
    </row>
    <row r="12" spans="1:14">
      <c r="A12" s="273"/>
      <c r="B12" s="755" t="s">
        <v>282</v>
      </c>
      <c r="C12" s="737"/>
      <c r="D12" s="737"/>
      <c r="E12" s="737"/>
      <c r="F12" s="737"/>
      <c r="G12" s="737"/>
      <c r="H12" s="737"/>
      <c r="I12" s="737">
        <f>-'GM-BS'!H79</f>
        <v>-1135.8785506068743</v>
      </c>
      <c r="J12" s="737">
        <f>-'GM-BS'!I79</f>
        <v>-1262.4673222021156</v>
      </c>
      <c r="K12" s="737">
        <f>-'GM-BS'!J79</f>
        <v>-1425.1946068233228</v>
      </c>
      <c r="L12" s="737">
        <f>-'GM-BS'!K79</f>
        <v>-1603.4339314900935</v>
      </c>
      <c r="M12" s="756">
        <f>-'GM-BS'!L79</f>
        <v>-1825.7978549461259</v>
      </c>
    </row>
    <row r="13" spans="1:14">
      <c r="A13" s="273"/>
      <c r="B13" s="752" t="s">
        <v>283</v>
      </c>
      <c r="C13" s="738"/>
      <c r="D13" s="738"/>
      <c r="E13" s="738"/>
      <c r="F13" s="738"/>
      <c r="G13" s="738"/>
      <c r="H13" s="738"/>
      <c r="I13" s="738">
        <f t="shared" ref="I13:M13" si="0">SUM(I8:I12)</f>
        <v>31343.380442452744</v>
      </c>
      <c r="J13" s="738">
        <f t="shared" si="0"/>
        <v>34945.893002721321</v>
      </c>
      <c r="K13" s="738">
        <f t="shared" si="0"/>
        <v>39049.698810848909</v>
      </c>
      <c r="L13" s="738">
        <f t="shared" si="0"/>
        <v>43689.765102905869</v>
      </c>
      <c r="M13" s="754">
        <f t="shared" si="0"/>
        <v>48858.363643851706</v>
      </c>
    </row>
    <row r="14" spans="1:14">
      <c r="A14" s="273"/>
      <c r="B14" s="751"/>
      <c r="C14" s="738"/>
      <c r="D14" s="738"/>
      <c r="E14" s="738"/>
      <c r="F14" s="738"/>
      <c r="G14" s="738"/>
      <c r="H14" s="738"/>
      <c r="I14" s="738"/>
      <c r="J14" s="273"/>
      <c r="K14" s="273"/>
      <c r="L14" s="273"/>
      <c r="M14" s="748"/>
    </row>
    <row r="15" spans="1:14">
      <c r="A15" s="273"/>
      <c r="B15" s="752" t="s">
        <v>284</v>
      </c>
      <c r="C15" s="738"/>
      <c r="D15" s="738"/>
      <c r="E15" s="738"/>
      <c r="F15" s="738"/>
      <c r="G15" s="738"/>
      <c r="H15" s="738"/>
      <c r="I15" s="738"/>
      <c r="J15" s="273"/>
      <c r="K15" s="273"/>
      <c r="L15" s="273"/>
      <c r="M15" s="748"/>
    </row>
    <row r="16" spans="1:14">
      <c r="A16" s="273"/>
      <c r="B16" s="753" t="s">
        <v>285</v>
      </c>
      <c r="C16" s="740"/>
      <c r="D16" s="740"/>
      <c r="E16" s="740"/>
      <c r="F16" s="740"/>
      <c r="G16" s="740"/>
      <c r="H16" s="740"/>
      <c r="I16" s="738">
        <f>-('Fixed Asset Shedule'!H7+'Fixed Asset Shedule'!H28)</f>
        <v>-601.45082118446101</v>
      </c>
      <c r="J16" s="738">
        <f>-('Fixed Asset Shedule'!I7+'Fixed Asset Shedule'!I28)</f>
        <v>-20484.982761892647</v>
      </c>
      <c r="K16" s="738">
        <f>-('Fixed Asset Shedule'!J7+'Fixed Asset Shedule'!J28)</f>
        <v>-23034.276210788692</v>
      </c>
      <c r="L16" s="738">
        <f>-('Fixed Asset Shedule'!K7+'Fixed Asset Shedule'!K28)</f>
        <v>-25919.45356282443</v>
      </c>
      <c r="M16" s="754">
        <f>-('Fixed Asset Shedule'!L7+'Fixed Asset Shedule'!L28)</f>
        <v>-29187.095290505993</v>
      </c>
    </row>
    <row r="17" spans="1:14">
      <c r="A17" s="273"/>
      <c r="B17" s="751"/>
      <c r="C17" s="738"/>
      <c r="D17" s="737"/>
      <c r="E17" s="737"/>
      <c r="F17" s="737"/>
      <c r="G17" s="737"/>
      <c r="H17" s="737"/>
      <c r="I17" s="737"/>
      <c r="J17" s="737"/>
      <c r="K17" s="737"/>
      <c r="L17" s="737"/>
      <c r="M17" s="756"/>
    </row>
    <row r="18" spans="1:14">
      <c r="A18" s="273"/>
      <c r="B18" s="752" t="s">
        <v>286</v>
      </c>
      <c r="C18" s="742"/>
      <c r="D18" s="741"/>
      <c r="E18" s="741"/>
      <c r="F18" s="741"/>
      <c r="G18" s="741"/>
      <c r="H18" s="741"/>
      <c r="I18" s="741">
        <f t="shared" ref="I18:M18" si="1">I16</f>
        <v>-601.45082118446101</v>
      </c>
      <c r="J18" s="741">
        <f t="shared" si="1"/>
        <v>-20484.982761892647</v>
      </c>
      <c r="K18" s="741">
        <f t="shared" si="1"/>
        <v>-23034.276210788692</v>
      </c>
      <c r="L18" s="741">
        <f t="shared" si="1"/>
        <v>-25919.45356282443</v>
      </c>
      <c r="M18" s="757">
        <f t="shared" si="1"/>
        <v>-29187.095290505993</v>
      </c>
    </row>
    <row r="19" spans="1:14">
      <c r="A19" s="273"/>
      <c r="B19" s="751"/>
      <c r="C19" s="738"/>
      <c r="D19" s="738"/>
      <c r="E19" s="738"/>
      <c r="F19" s="738"/>
      <c r="G19" s="738"/>
      <c r="H19" s="738"/>
      <c r="I19" s="738"/>
      <c r="J19" s="273"/>
      <c r="K19" s="273"/>
      <c r="L19" s="273"/>
      <c r="M19" s="748"/>
    </row>
    <row r="20" spans="1:14">
      <c r="A20" s="273"/>
      <c r="B20" s="752" t="s">
        <v>287</v>
      </c>
      <c r="C20" s="738"/>
      <c r="D20" s="738"/>
      <c r="E20" s="738"/>
      <c r="F20" s="738"/>
      <c r="G20" s="738"/>
      <c r="H20" s="738"/>
      <c r="I20" s="738"/>
      <c r="J20" s="273"/>
      <c r="K20" s="273"/>
      <c r="L20" s="273"/>
      <c r="M20" s="748"/>
    </row>
    <row r="21" spans="1:14">
      <c r="A21" s="273"/>
      <c r="B21" s="753" t="s">
        <v>288</v>
      </c>
      <c r="C21" s="740"/>
      <c r="D21" s="740"/>
      <c r="E21" s="740"/>
      <c r="F21" s="740"/>
      <c r="G21" s="740"/>
      <c r="H21" s="740"/>
      <c r="I21" s="740">
        <f>-'GM-IS'!H70</f>
        <v>-452.93289523226696</v>
      </c>
      <c r="J21" s="740">
        <f>-'GM-IS'!I70</f>
        <v>-546.42461016299455</v>
      </c>
      <c r="K21" s="740">
        <f>-'GM-IS'!J70</f>
        <v>-639.32747070284131</v>
      </c>
      <c r="L21" s="740">
        <f>-'GM-IS'!K70</f>
        <v>-744.463380790099</v>
      </c>
      <c r="M21" s="758">
        <f>-'GM-IS'!L70</f>
        <v>-875.47970385410201</v>
      </c>
      <c r="N21" s="320"/>
    </row>
    <row r="22" spans="1:14">
      <c r="A22" s="273"/>
      <c r="B22" s="753" t="s">
        <v>289</v>
      </c>
      <c r="C22" s="738"/>
      <c r="D22" s="738"/>
      <c r="E22" s="738"/>
      <c r="F22" s="738"/>
      <c r="G22" s="738"/>
      <c r="H22" s="738"/>
      <c r="I22" s="738">
        <f>'Debt Shedule'!I7</f>
        <v>25000</v>
      </c>
      <c r="J22" s="738">
        <f>'Debt Shedule'!J7</f>
        <v>20000</v>
      </c>
      <c r="K22" s="738">
        <f>'Debt Shedule'!K7</f>
        <v>20000</v>
      </c>
      <c r="L22" s="738">
        <f>'Debt Shedule'!L7</f>
        <v>6000</v>
      </c>
      <c r="M22" s="754">
        <f>'Debt Shedule'!M7</f>
        <v>6000</v>
      </c>
    </row>
    <row r="23" spans="1:14">
      <c r="A23" s="273"/>
      <c r="B23" s="753" t="s">
        <v>290</v>
      </c>
      <c r="C23" s="740"/>
      <c r="D23" s="740"/>
      <c r="E23" s="740"/>
      <c r="F23" s="740"/>
      <c r="G23" s="740"/>
      <c r="H23" s="740"/>
      <c r="I23" s="740">
        <f>-'Debt Shedule'!I6</f>
        <v>-39531</v>
      </c>
      <c r="J23" s="740">
        <f>-'Debt Shedule'!J6</f>
        <v>-24228</v>
      </c>
      <c r="K23" s="740">
        <f>-'Debt Shedule'!K6</f>
        <v>-21160</v>
      </c>
      <c r="L23" s="740">
        <f>-'Debt Shedule'!L6</f>
        <v>-11191</v>
      </c>
      <c r="M23" s="758">
        <f>-'Debt Shedule'!M6</f>
        <v>-23247</v>
      </c>
    </row>
    <row r="24" spans="1:14">
      <c r="A24" s="273"/>
      <c r="B24" s="751" t="s">
        <v>281</v>
      </c>
      <c r="C24" s="737"/>
      <c r="D24" s="737"/>
      <c r="E24" s="737"/>
      <c r="F24" s="737"/>
      <c r="G24" s="737"/>
      <c r="H24" s="737"/>
      <c r="I24" s="740">
        <f t="shared" ref="I24:M24" si="2">-I11</f>
        <v>-7103.0570000000007</v>
      </c>
      <c r="J24" s="740">
        <f t="shared" si="2"/>
        <v>-6559.0459999999994</v>
      </c>
      <c r="K24" s="740">
        <f t="shared" si="2"/>
        <v>-6402.7940000000008</v>
      </c>
      <c r="L24" s="740">
        <f t="shared" si="2"/>
        <v>-6218.6150000000007</v>
      </c>
      <c r="M24" s="758">
        <f t="shared" si="2"/>
        <v>-5567.9130000000005</v>
      </c>
    </row>
    <row r="25" spans="1:14">
      <c r="A25" s="273"/>
      <c r="B25" s="752" t="s">
        <v>291</v>
      </c>
      <c r="C25" s="741"/>
      <c r="D25" s="741"/>
      <c r="E25" s="741"/>
      <c r="F25" s="741"/>
      <c r="G25" s="741"/>
      <c r="H25" s="741"/>
      <c r="I25" s="742">
        <f t="shared" ref="I25:M25" si="3">SUM(I21:I24)</f>
        <v>-22086.989895232269</v>
      </c>
      <c r="J25" s="742">
        <f t="shared" si="3"/>
        <v>-11333.470610162993</v>
      </c>
      <c r="K25" s="742">
        <f t="shared" si="3"/>
        <v>-8202.1214707028412</v>
      </c>
      <c r="L25" s="742">
        <f t="shared" si="3"/>
        <v>-12154.078380790099</v>
      </c>
      <c r="M25" s="759">
        <f t="shared" si="3"/>
        <v>-23690.392703854101</v>
      </c>
    </row>
    <row r="26" spans="1:14">
      <c r="A26" s="273"/>
      <c r="B26" s="751"/>
      <c r="C26" s="738"/>
      <c r="D26" s="737"/>
      <c r="E26" s="737"/>
      <c r="F26" s="737"/>
      <c r="G26" s="737"/>
      <c r="H26" s="737"/>
      <c r="I26" s="737"/>
      <c r="J26" s="743"/>
      <c r="K26" s="743"/>
      <c r="L26" s="743"/>
      <c r="M26" s="760"/>
    </row>
    <row r="27" spans="1:14" s="1" customFormat="1">
      <c r="A27" s="766"/>
      <c r="B27" s="752" t="s">
        <v>292</v>
      </c>
      <c r="C27" s="761"/>
      <c r="D27" s="739"/>
      <c r="E27" s="739"/>
      <c r="F27" s="739"/>
      <c r="G27" s="739"/>
      <c r="H27" s="739"/>
      <c r="I27" s="739">
        <f t="shared" ref="I27:M27" si="4">I13+I18+I25</f>
        <v>8654.9397260360129</v>
      </c>
      <c r="J27" s="739">
        <f t="shared" si="4"/>
        <v>3127.4396306656818</v>
      </c>
      <c r="K27" s="739">
        <f t="shared" si="4"/>
        <v>7813.3011293573763</v>
      </c>
      <c r="L27" s="739">
        <f t="shared" si="4"/>
        <v>5616.2331592913397</v>
      </c>
      <c r="M27" s="762">
        <f t="shared" si="4"/>
        <v>-4019.1243505083876</v>
      </c>
    </row>
    <row r="28" spans="1:14">
      <c r="A28" s="273"/>
      <c r="B28" s="752" t="s">
        <v>293</v>
      </c>
      <c r="C28" s="737"/>
      <c r="D28" s="737"/>
      <c r="E28" s="737"/>
      <c r="F28" s="737"/>
      <c r="G28" s="737"/>
      <c r="H28" s="737"/>
      <c r="I28" s="737">
        <f>'GM-BS'!G6</f>
        <v>19872</v>
      </c>
      <c r="J28" s="737">
        <f>I29</f>
        <v>28526.939726036013</v>
      </c>
      <c r="K28" s="737">
        <f t="shared" ref="K28:M28" si="5">J29</f>
        <v>31654.379356701695</v>
      </c>
      <c r="L28" s="737">
        <f t="shared" si="5"/>
        <v>39467.680486059071</v>
      </c>
      <c r="M28" s="756">
        <f t="shared" si="5"/>
        <v>45083.913645350411</v>
      </c>
    </row>
    <row r="29" spans="1:14" s="1" customFormat="1" ht="15.75" thickBot="1">
      <c r="A29" s="766"/>
      <c r="B29" s="752" t="s">
        <v>294</v>
      </c>
      <c r="C29" s="763"/>
      <c r="D29" s="763"/>
      <c r="E29" s="763"/>
      <c r="F29" s="763"/>
      <c r="G29" s="763"/>
      <c r="H29" s="763"/>
      <c r="I29" s="763">
        <f t="shared" ref="I29:M29" si="6">I27+I28</f>
        <v>28526.939726036013</v>
      </c>
      <c r="J29" s="763">
        <f t="shared" si="6"/>
        <v>31654.379356701695</v>
      </c>
      <c r="K29" s="763">
        <f t="shared" si="6"/>
        <v>39467.680486059071</v>
      </c>
      <c r="L29" s="763">
        <f t="shared" si="6"/>
        <v>45083.913645350411</v>
      </c>
      <c r="M29" s="764">
        <f t="shared" si="6"/>
        <v>41064.789294842019</v>
      </c>
    </row>
    <row r="30" spans="1:14" ht="15.75" thickTop="1">
      <c r="A30" s="273"/>
      <c r="B30" s="765"/>
      <c r="C30" s="737"/>
      <c r="D30" s="737"/>
      <c r="E30" s="737"/>
      <c r="F30" s="737"/>
      <c r="G30" s="737"/>
      <c r="H30" s="737"/>
      <c r="I30" s="737"/>
      <c r="J30" s="743"/>
      <c r="K30" s="743"/>
      <c r="L30" s="743"/>
      <c r="M30" s="760"/>
    </row>
    <row r="31" spans="1:14">
      <c r="C31" s="736"/>
      <c r="D31" s="736"/>
      <c r="E31" s="736"/>
      <c r="F31" s="736"/>
      <c r="G31" s="736"/>
      <c r="H31" s="736"/>
      <c r="I31" s="6"/>
    </row>
    <row r="32" spans="1:14">
      <c r="C32" s="736"/>
      <c r="D32" s="736"/>
      <c r="E32" s="736"/>
      <c r="F32" s="736"/>
      <c r="G32" s="736"/>
      <c r="H32" s="736"/>
      <c r="I32" s="6"/>
    </row>
  </sheetData>
  <mergeCells count="1">
    <mergeCell ref="B4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4"/>
  <sheetViews>
    <sheetView workbookViewId="0">
      <selection activeCell="V15" sqref="V15"/>
    </sheetView>
  </sheetViews>
  <sheetFormatPr defaultColWidth="9" defaultRowHeight="15"/>
  <cols>
    <col min="1" max="1" width="36.85546875" style="323" customWidth="1"/>
    <col min="2" max="2" width="1.7109375" style="323" customWidth="1"/>
    <col min="3" max="3" width="2.140625" style="323" customWidth="1"/>
    <col min="4" max="4" width="1.85546875" style="323" customWidth="1"/>
    <col min="5" max="5" width="2.5703125" style="323" customWidth="1"/>
    <col min="6" max="6" width="2" style="323" customWidth="1"/>
    <col min="7" max="7" width="1.5703125" style="323" customWidth="1"/>
    <col min="8" max="8" width="12.140625" style="323" hidden="1" customWidth="1"/>
    <col min="9" max="13" width="12.140625" style="323" customWidth="1"/>
    <col min="14" max="14" width="15.42578125" style="323" customWidth="1"/>
    <col min="15" max="15" width="11.5703125" style="323" customWidth="1"/>
    <col min="16" max="20" width="9.7109375" style="323" bestFit="1" customWidth="1"/>
    <col min="21" max="16384" width="9" style="323"/>
  </cols>
  <sheetData>
    <row r="1" spans="1:15">
      <c r="A1" s="343" t="s">
        <v>0</v>
      </c>
    </row>
    <row r="2" spans="1:15" s="346" customFormat="1">
      <c r="A2" s="347" t="s">
        <v>20</v>
      </c>
    </row>
    <row r="3" spans="1:15">
      <c r="A3" s="343" t="s">
        <v>305</v>
      </c>
      <c r="B3" s="343"/>
      <c r="C3" s="343"/>
      <c r="D3" s="343"/>
      <c r="E3" s="343"/>
      <c r="F3" s="343"/>
      <c r="G3" s="343"/>
      <c r="H3" s="345">
        <v>12</v>
      </c>
      <c r="I3" s="345">
        <v>12</v>
      </c>
      <c r="J3" s="345">
        <v>12</v>
      </c>
      <c r="K3" s="345">
        <v>12</v>
      </c>
      <c r="L3" s="345">
        <v>12</v>
      </c>
      <c r="M3" s="345">
        <v>12</v>
      </c>
    </row>
    <row r="4" spans="1:15">
      <c r="A4" s="344"/>
      <c r="B4" s="343"/>
      <c r="C4" s="343"/>
      <c r="D4" s="343"/>
      <c r="E4" s="343"/>
      <c r="F4" s="343"/>
      <c r="G4" s="343"/>
      <c r="H4" s="342">
        <v>45657</v>
      </c>
      <c r="I4" s="341">
        <v>46022</v>
      </c>
      <c r="J4" s="341">
        <v>46387</v>
      </c>
      <c r="K4" s="341">
        <v>46752</v>
      </c>
      <c r="L4" s="341">
        <v>47118</v>
      </c>
      <c r="M4" s="341">
        <v>47483</v>
      </c>
    </row>
    <row r="5" spans="1:15" s="327" customFormat="1">
      <c r="A5" s="327" t="s">
        <v>304</v>
      </c>
      <c r="B5" s="340"/>
      <c r="C5" s="340"/>
      <c r="D5" s="340"/>
      <c r="E5" s="340"/>
      <c r="F5" s="340"/>
      <c r="G5" s="340"/>
      <c r="H5" s="340"/>
      <c r="I5" s="340">
        <f>'GM-BS'!G31+'GM-BS'!G32+'GM-BS'!G37+'GM-BS'!G38</f>
        <v>129732</v>
      </c>
      <c r="J5" s="340">
        <f>I8</f>
        <v>115201</v>
      </c>
      <c r="K5" s="340">
        <f>J8</f>
        <v>110973</v>
      </c>
      <c r="L5" s="340">
        <f>K8</f>
        <v>109813</v>
      </c>
      <c r="M5" s="340">
        <f>L8</f>
        <v>104622</v>
      </c>
    </row>
    <row r="6" spans="1:15">
      <c r="A6" s="331" t="s">
        <v>303</v>
      </c>
      <c r="B6" s="339"/>
      <c r="C6" s="339"/>
      <c r="D6" s="339"/>
      <c r="E6" s="339"/>
      <c r="F6" s="339"/>
      <c r="G6" s="339"/>
      <c r="H6" s="339"/>
      <c r="I6" s="339">
        <f>Raw!C159</f>
        <v>39531</v>
      </c>
      <c r="J6" s="339">
        <f>Raw!D159</f>
        <v>24228</v>
      </c>
      <c r="K6" s="339">
        <f>Raw!E159</f>
        <v>21160</v>
      </c>
      <c r="L6" s="339">
        <f>Raw!F159</f>
        <v>11191</v>
      </c>
      <c r="M6" s="339">
        <f>Raw!G159</f>
        <v>23247</v>
      </c>
      <c r="O6" s="378"/>
    </row>
    <row r="7" spans="1:15">
      <c r="A7" s="331" t="s">
        <v>302</v>
      </c>
      <c r="I7" s="323">
        <v>25000</v>
      </c>
      <c r="J7" s="323">
        <v>20000</v>
      </c>
      <c r="K7" s="323">
        <v>20000</v>
      </c>
      <c r="L7" s="323">
        <v>6000</v>
      </c>
      <c r="M7" s="323">
        <v>6000</v>
      </c>
      <c r="N7" s="705" t="s">
        <v>600</v>
      </c>
    </row>
    <row r="8" spans="1:15" s="327" customFormat="1">
      <c r="A8" s="336" t="s">
        <v>301</v>
      </c>
      <c r="B8" s="338"/>
      <c r="C8" s="338"/>
      <c r="D8" s="338"/>
      <c r="E8" s="338"/>
      <c r="F8" s="338"/>
      <c r="G8" s="338"/>
      <c r="H8" s="338"/>
      <c r="I8" s="338">
        <f t="shared" ref="I8:M8" si="0">I5-I6+I7</f>
        <v>115201</v>
      </c>
      <c r="J8" s="338">
        <f t="shared" si="0"/>
        <v>110973</v>
      </c>
      <c r="K8" s="338">
        <f t="shared" si="0"/>
        <v>109813</v>
      </c>
      <c r="L8" s="338">
        <f t="shared" si="0"/>
        <v>104622</v>
      </c>
      <c r="M8" s="338">
        <f t="shared" si="0"/>
        <v>87375</v>
      </c>
    </row>
    <row r="9" spans="1:15">
      <c r="A9" s="331" t="s">
        <v>300</v>
      </c>
      <c r="B9" s="324"/>
      <c r="C9" s="324"/>
      <c r="D9" s="324"/>
      <c r="E9" s="324"/>
      <c r="F9" s="324"/>
      <c r="G9" s="324"/>
      <c r="H9" s="324"/>
      <c r="I9" s="324">
        <f t="shared" ref="I9:M9" si="1">J6</f>
        <v>24228</v>
      </c>
      <c r="J9" s="324">
        <f t="shared" si="1"/>
        <v>21160</v>
      </c>
      <c r="K9" s="324">
        <f t="shared" si="1"/>
        <v>11191</v>
      </c>
      <c r="L9" s="324">
        <f t="shared" si="1"/>
        <v>23247</v>
      </c>
      <c r="M9" s="324">
        <f t="shared" si="1"/>
        <v>0</v>
      </c>
    </row>
    <row r="10" spans="1:15">
      <c r="A10" s="331" t="s">
        <v>299</v>
      </c>
      <c r="B10" s="337"/>
      <c r="C10" s="337"/>
      <c r="D10" s="337"/>
      <c r="E10" s="337"/>
      <c r="F10" s="337"/>
      <c r="G10" s="337"/>
      <c r="H10" s="337"/>
      <c r="I10" s="337">
        <f t="shared" ref="I10:M10" si="2">I8-I9</f>
        <v>90973</v>
      </c>
      <c r="J10" s="337">
        <f t="shared" si="2"/>
        <v>89813</v>
      </c>
      <c r="K10" s="337">
        <f t="shared" si="2"/>
        <v>98622</v>
      </c>
      <c r="L10" s="337">
        <f t="shared" si="2"/>
        <v>81375</v>
      </c>
      <c r="M10" s="337">
        <f t="shared" si="2"/>
        <v>87375</v>
      </c>
    </row>
    <row r="11" spans="1:15" ht="14.45" customHeight="1">
      <c r="A11" s="336"/>
      <c r="B11" s="331"/>
      <c r="C11" s="331"/>
      <c r="D11" s="331"/>
      <c r="E11" s="331"/>
      <c r="F11" s="331"/>
      <c r="G11" s="331"/>
      <c r="H11" s="331"/>
      <c r="I11" s="790"/>
      <c r="J11" s="791"/>
      <c r="K11" s="791"/>
      <c r="L11" s="356"/>
      <c r="M11" s="790"/>
    </row>
    <row r="12" spans="1:15">
      <c r="A12" s="331"/>
      <c r="B12" s="335"/>
      <c r="C12" s="335"/>
      <c r="D12" s="335"/>
      <c r="E12" s="335"/>
      <c r="F12" s="335"/>
      <c r="G12" s="335"/>
      <c r="H12" s="335"/>
      <c r="I12" s="790"/>
      <c r="J12" s="356"/>
      <c r="K12" s="356"/>
      <c r="L12" s="356"/>
      <c r="M12" s="792"/>
    </row>
    <row r="13" spans="1:15">
      <c r="A13" s="331" t="s">
        <v>298</v>
      </c>
      <c r="B13" s="334"/>
      <c r="C13" s="334"/>
      <c r="D13" s="334"/>
      <c r="E13" s="334"/>
      <c r="F13" s="334"/>
      <c r="G13" s="334"/>
      <c r="H13" s="334"/>
      <c r="I13" s="334">
        <f>$H$15*I5*I3/12</f>
        <v>7524.456000000001</v>
      </c>
      <c r="J13" s="334">
        <f t="shared" ref="J13:M13" si="3">$H$15*J5*J3/12</f>
        <v>6681.6580000000004</v>
      </c>
      <c r="K13" s="334">
        <f t="shared" si="3"/>
        <v>6436.4340000000002</v>
      </c>
      <c r="L13" s="334">
        <f t="shared" si="3"/>
        <v>6369.1539999999995</v>
      </c>
      <c r="M13" s="334">
        <f t="shared" si="3"/>
        <v>6068.076</v>
      </c>
    </row>
    <row r="14" spans="1:15">
      <c r="A14" s="331" t="s">
        <v>297</v>
      </c>
      <c r="B14" s="330"/>
      <c r="C14" s="330"/>
      <c r="D14" s="330"/>
      <c r="E14" s="330"/>
      <c r="F14" s="330"/>
      <c r="G14" s="330"/>
      <c r="H14" s="333"/>
      <c r="I14" s="333">
        <f t="shared" ref="I14:M14" si="4">$H$15*AVERAGE(I5,I8)*I3/12</f>
        <v>7103.0570000000007</v>
      </c>
      <c r="J14" s="333">
        <f t="shared" si="4"/>
        <v>6559.0459999999994</v>
      </c>
      <c r="K14" s="333">
        <f t="shared" si="4"/>
        <v>6402.7940000000008</v>
      </c>
      <c r="L14" s="333">
        <f t="shared" si="4"/>
        <v>6218.6150000000007</v>
      </c>
      <c r="M14" s="333">
        <f t="shared" si="4"/>
        <v>5567.9130000000005</v>
      </c>
      <c r="N14" s="332"/>
    </row>
    <row r="15" spans="1:15">
      <c r="A15" s="331" t="s">
        <v>296</v>
      </c>
      <c r="B15" s="330"/>
      <c r="C15" s="330"/>
      <c r="D15" s="330"/>
      <c r="E15" s="330"/>
      <c r="F15" s="330"/>
      <c r="G15" s="330"/>
      <c r="H15" s="330">
        <f>Raw!E155</f>
        <v>5.8000000000000003E-2</v>
      </c>
      <c r="I15" s="703">
        <f>Raw!E155</f>
        <v>5.8000000000000003E-2</v>
      </c>
      <c r="M15" s="329"/>
    </row>
    <row r="16" spans="1:15">
      <c r="B16" s="330"/>
      <c r="C16" s="330"/>
      <c r="D16" s="330"/>
      <c r="E16" s="330"/>
      <c r="F16" s="330"/>
      <c r="G16" s="330"/>
      <c r="H16" s="330"/>
      <c r="M16" s="329"/>
    </row>
    <row r="17" spans="1:20">
      <c r="M17" s="329"/>
    </row>
    <row r="18" spans="1:20">
      <c r="I18" s="706">
        <f>'GM-BS'!B4</f>
        <v>43830</v>
      </c>
      <c r="J18" s="706">
        <f>'GM-BS'!C4</f>
        <v>44196</v>
      </c>
      <c r="K18" s="706">
        <f>'GM-BS'!D4</f>
        <v>44561</v>
      </c>
      <c r="L18" s="706">
        <f>'GM-BS'!E4</f>
        <v>44926</v>
      </c>
      <c r="M18" s="706">
        <f>'GM-BS'!F4</f>
        <v>45291</v>
      </c>
      <c r="N18" s="706">
        <f>'GM-BS'!G4</f>
        <v>45657</v>
      </c>
      <c r="P18" s="706">
        <f>I4</f>
        <v>46022</v>
      </c>
      <c r="Q18" s="706">
        <f t="shared" ref="Q18:T18" si="5">J4</f>
        <v>46387</v>
      </c>
      <c r="R18" s="706">
        <f t="shared" si="5"/>
        <v>46752</v>
      </c>
      <c r="S18" s="706">
        <f t="shared" si="5"/>
        <v>47118</v>
      </c>
      <c r="T18" s="706">
        <f t="shared" si="5"/>
        <v>47483</v>
      </c>
    </row>
    <row r="19" spans="1:20">
      <c r="A19" s="705" t="s">
        <v>594</v>
      </c>
      <c r="I19" s="323">
        <f>'GM-BS'!B31+'GM-BS'!B32+'GM-BS'!B37+'GM-BS'!B38</f>
        <v>103324</v>
      </c>
      <c r="J19" s="323">
        <f>'GM-BS'!C31+'GM-BS'!C32+'GM-BS'!C37+'GM-BS'!C38</f>
        <v>109894</v>
      </c>
      <c r="K19" s="323">
        <f>'GM-BS'!D31+'GM-BS'!D32+'GM-BS'!D37+'GM-BS'!D38</f>
        <v>109379</v>
      </c>
      <c r="L19" s="323">
        <f>'GM-BS'!E31+'GM-BS'!E32+'GM-BS'!E37+'GM-BS'!E38</f>
        <v>114699</v>
      </c>
      <c r="M19" s="323">
        <f>'GM-BS'!F31+'GM-BS'!F32+'GM-BS'!F37+'GM-BS'!F38</f>
        <v>121741</v>
      </c>
      <c r="N19" s="323">
        <f>'GM-BS'!G31+'GM-BS'!G32+'GM-BS'!G37+'GM-BS'!G38</f>
        <v>129732</v>
      </c>
      <c r="P19" s="337">
        <f>P21*($O$23)</f>
        <v>142915.98874521276</v>
      </c>
      <c r="Q19" s="337">
        <f t="shared" ref="Q19:T19" si="6">Q21*($O$23)</f>
        <v>173933.98271542796</v>
      </c>
      <c r="R19" s="337">
        <f t="shared" si="6"/>
        <v>210177.4383891559</v>
      </c>
      <c r="S19" s="337">
        <f t="shared" si="6"/>
        <v>252334.16634623724</v>
      </c>
      <c r="T19" s="337">
        <f t="shared" si="6"/>
        <v>301844.13816166698</v>
      </c>
    </row>
    <row r="20" spans="1:20">
      <c r="A20" s="705" t="s">
        <v>596</v>
      </c>
      <c r="I20" s="323">
        <f>'GM-BS'!B24</f>
        <v>228037</v>
      </c>
      <c r="J20" s="323">
        <f>'GM-BS'!C24</f>
        <v>235194</v>
      </c>
      <c r="K20" s="323">
        <f>'GM-BS'!D24</f>
        <v>244718</v>
      </c>
      <c r="L20" s="323">
        <f>'GM-BS'!E24</f>
        <v>264036</v>
      </c>
      <c r="M20" s="323">
        <f>'GM-BS'!F24</f>
        <v>273065</v>
      </c>
      <c r="N20" s="323">
        <f>'GM-BS'!G24</f>
        <v>279761</v>
      </c>
      <c r="P20" s="708">
        <f>'GM-BS'!H24</f>
        <v>286834.85927232867</v>
      </c>
      <c r="Q20" s="708">
        <f>'GM-BS'!I24</f>
        <v>303923.83919038344</v>
      </c>
      <c r="R20" s="708">
        <f>'GM-BS'!J24</f>
        <v>327515.71784772945</v>
      </c>
      <c r="S20" s="708">
        <f>'GM-BS'!K24</f>
        <v>350838.58170008648</v>
      </c>
      <c r="T20" s="708">
        <f>'GM-BS'!L24</f>
        <v>367131.40877737617</v>
      </c>
    </row>
    <row r="21" spans="1:20">
      <c r="A21" s="705" t="s">
        <v>595</v>
      </c>
      <c r="I21" s="323">
        <f>'GM-BS'!B58</f>
        <v>45957</v>
      </c>
      <c r="J21" s="323">
        <f>'GM-BS'!C58</f>
        <v>49677</v>
      </c>
      <c r="K21" s="323">
        <f>'GM-BS'!D58</f>
        <v>65815</v>
      </c>
      <c r="L21" s="323">
        <f>'GM-BS'!E58</f>
        <v>71927</v>
      </c>
      <c r="M21" s="323">
        <f>'GM-BS'!F58</f>
        <v>68189</v>
      </c>
      <c r="N21" s="323">
        <f>'GM-BS'!G58</f>
        <v>65590</v>
      </c>
      <c r="P21" s="708">
        <f>'GM-BS'!H58</f>
        <v>80021.217612874272</v>
      </c>
      <c r="Q21" s="708">
        <f>'GM-BS'!I58</f>
        <v>97388.747076847954</v>
      </c>
      <c r="R21" s="708">
        <f>'GM-BS'!J58</f>
        <v>117682.10598632893</v>
      </c>
      <c r="S21" s="708">
        <f>'GM-BS'!K58</f>
        <v>141286.41178387284</v>
      </c>
      <c r="T21" s="708">
        <f>'GM-BS'!L58</f>
        <v>169007.93030279002</v>
      </c>
    </row>
    <row r="22" spans="1:20">
      <c r="A22" s="705" t="s">
        <v>597</v>
      </c>
      <c r="I22" s="707">
        <f>I19/I20</f>
        <v>0.45310190890074858</v>
      </c>
      <c r="J22" s="707">
        <f t="shared" ref="J22:N22" si="7">J19/J20</f>
        <v>0.46724831415767409</v>
      </c>
      <c r="K22" s="707">
        <f t="shared" si="7"/>
        <v>0.44695935730105674</v>
      </c>
      <c r="L22" s="707">
        <f t="shared" si="7"/>
        <v>0.43440667181747944</v>
      </c>
      <c r="M22" s="707">
        <f t="shared" si="7"/>
        <v>0.44583157856188088</v>
      </c>
      <c r="N22" s="707">
        <f t="shared" si="7"/>
        <v>0.46372439332144222</v>
      </c>
      <c r="O22" s="355">
        <f>AVERAGE(L22:N22)</f>
        <v>0.44798754790026751</v>
      </c>
    </row>
    <row r="23" spans="1:20">
      <c r="A23" s="705" t="s">
        <v>598</v>
      </c>
      <c r="I23" s="709">
        <f>I19/I21</f>
        <v>2.2482755619383337</v>
      </c>
      <c r="J23" s="709">
        <f t="shared" ref="J23:N23" si="8">J19/J21</f>
        <v>2.2121706222195381</v>
      </c>
      <c r="K23" s="709">
        <f t="shared" si="8"/>
        <v>1.6619159766010787</v>
      </c>
      <c r="L23" s="709">
        <f t="shared" si="8"/>
        <v>1.5946584731741904</v>
      </c>
      <c r="M23" s="709">
        <f t="shared" si="8"/>
        <v>1.7853466101570634</v>
      </c>
      <c r="N23" s="709">
        <f t="shared" si="8"/>
        <v>1.9779234639426742</v>
      </c>
      <c r="O23" s="710">
        <f>AVERAGE(L23:N23)</f>
        <v>1.7859761824246425</v>
      </c>
    </row>
    <row r="24" spans="1:20">
      <c r="M24" s="329" t="s">
        <v>599</v>
      </c>
      <c r="P24" s="337">
        <f>P19+I6-I5</f>
        <v>52714.988745212759</v>
      </c>
      <c r="Q24" s="337">
        <f t="shared" ref="Q24:T24" si="9">Q19+J6-J5</f>
        <v>82960.982715427963</v>
      </c>
      <c r="R24" s="337">
        <f t="shared" si="9"/>
        <v>120364.4383891559</v>
      </c>
      <c r="S24" s="337">
        <f t="shared" si="9"/>
        <v>153712.16634623724</v>
      </c>
      <c r="T24" s="337">
        <f t="shared" si="9"/>
        <v>220469.13816166698</v>
      </c>
    </row>
    <row r="34" spans="1:13">
      <c r="A34" s="328"/>
      <c r="B34" s="793"/>
      <c r="C34" s="793"/>
      <c r="D34" s="793"/>
      <c r="E34" s="793"/>
      <c r="F34" s="793"/>
      <c r="G34" s="793"/>
      <c r="H34" s="793"/>
      <c r="I34" s="793"/>
      <c r="J34" s="793"/>
      <c r="K34" s="793"/>
    </row>
    <row r="36" spans="1:13">
      <c r="A36" s="327"/>
      <c r="B36" s="326"/>
      <c r="C36" s="326"/>
      <c r="D36" s="326"/>
      <c r="E36" s="326"/>
      <c r="F36" s="326"/>
      <c r="G36" s="326"/>
      <c r="H36" s="326"/>
      <c r="I36" s="326"/>
      <c r="J36" s="326"/>
      <c r="K36" s="326"/>
      <c r="L36" s="326"/>
      <c r="M36" s="326"/>
    </row>
    <row r="37" spans="1:13">
      <c r="B37" s="325"/>
      <c r="C37" s="325"/>
      <c r="D37" s="325"/>
      <c r="E37" s="325"/>
      <c r="F37" s="325"/>
      <c r="G37" s="325"/>
      <c r="H37" s="325"/>
    </row>
    <row r="41" spans="1:13">
      <c r="A41" s="327"/>
      <c r="B41" s="326"/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</row>
    <row r="42" spans="1:13">
      <c r="A42" s="327"/>
    </row>
    <row r="43" spans="1:13">
      <c r="B43" s="325"/>
      <c r="C43" s="325"/>
      <c r="D43" s="325"/>
      <c r="E43" s="325"/>
      <c r="F43" s="325"/>
      <c r="G43" s="325"/>
      <c r="H43" s="325"/>
    </row>
    <row r="44" spans="1:13">
      <c r="B44" s="325"/>
      <c r="C44" s="325"/>
      <c r="D44" s="325"/>
      <c r="E44" s="325"/>
      <c r="F44" s="325"/>
      <c r="G44" s="325"/>
      <c r="H44" s="325"/>
    </row>
    <row r="45" spans="1:13">
      <c r="I45" s="325"/>
      <c r="J45" s="325"/>
      <c r="K45" s="325"/>
      <c r="L45" s="325"/>
      <c r="M45" s="325"/>
    </row>
    <row r="46" spans="1:13">
      <c r="B46" s="325"/>
      <c r="C46" s="325"/>
      <c r="D46" s="325"/>
      <c r="E46" s="325"/>
      <c r="F46" s="325"/>
      <c r="G46" s="325"/>
      <c r="H46" s="325"/>
      <c r="I46" s="325"/>
      <c r="J46" s="325"/>
      <c r="K46" s="325"/>
      <c r="L46" s="325"/>
      <c r="M46" s="325"/>
    </row>
    <row r="48" spans="1:13">
      <c r="A48" s="327"/>
      <c r="B48" s="326"/>
      <c r="C48" s="326"/>
      <c r="D48" s="326"/>
      <c r="E48" s="326"/>
      <c r="F48" s="326"/>
      <c r="G48" s="326"/>
      <c r="H48" s="326"/>
      <c r="I48" s="326"/>
      <c r="J48" s="326"/>
      <c r="K48" s="326"/>
      <c r="L48" s="326"/>
      <c r="M48" s="326"/>
    </row>
    <row r="49" spans="2:13">
      <c r="B49" s="325"/>
      <c r="C49" s="325"/>
      <c r="D49" s="325"/>
      <c r="E49" s="325"/>
      <c r="F49" s="325"/>
      <c r="G49" s="325"/>
      <c r="H49" s="325"/>
    </row>
    <row r="51" spans="2:13">
      <c r="B51" s="325"/>
      <c r="C51" s="325"/>
      <c r="D51" s="325"/>
      <c r="E51" s="325"/>
      <c r="F51" s="325"/>
      <c r="G51" s="325"/>
      <c r="H51" s="325"/>
    </row>
    <row r="54" spans="2:13">
      <c r="B54" s="324"/>
      <c r="C54" s="324"/>
      <c r="D54" s="324"/>
      <c r="E54" s="324"/>
      <c r="F54" s="324"/>
      <c r="G54" s="324"/>
      <c r="H54" s="324"/>
      <c r="I54" s="324"/>
      <c r="J54" s="324"/>
      <c r="K54" s="324"/>
      <c r="L54" s="324"/>
      <c r="M54" s="324"/>
    </row>
  </sheetData>
  <mergeCells count="5">
    <mergeCell ref="I11:I12"/>
    <mergeCell ref="J11:K11"/>
    <mergeCell ref="M11:M12"/>
    <mergeCell ref="B34:I34"/>
    <mergeCell ref="J34:K3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topLeftCell="A4" workbookViewId="0">
      <selection activeCell="H34" sqref="H34"/>
    </sheetView>
  </sheetViews>
  <sheetFormatPr defaultColWidth="8.7109375" defaultRowHeight="15"/>
  <cols>
    <col min="1" max="1" width="48.140625" customWidth="1"/>
    <col min="2" max="4" width="11.140625" customWidth="1"/>
    <col min="5" max="5" width="11.85546875" customWidth="1"/>
    <col min="6" max="6" width="15.28515625" customWidth="1"/>
    <col min="7" max="7" width="10.28515625" bestFit="1" customWidth="1"/>
    <col min="8" max="8" width="11.85546875" customWidth="1"/>
    <col min="9" max="12" width="10.7109375" bestFit="1" customWidth="1"/>
  </cols>
  <sheetData>
    <row r="1" spans="1:12">
      <c r="A1" s="2" t="s">
        <v>337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</row>
    <row r="2" spans="1:12">
      <c r="A2" s="3" t="s">
        <v>20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3" spans="1:12">
      <c r="A3" s="2" t="s">
        <v>320</v>
      </c>
      <c r="B3" s="4">
        <v>12</v>
      </c>
      <c r="C3" s="4">
        <v>12</v>
      </c>
      <c r="D3" s="4">
        <v>12</v>
      </c>
      <c r="E3" s="4">
        <v>12</v>
      </c>
      <c r="F3" s="4">
        <v>12</v>
      </c>
      <c r="G3" s="4">
        <v>12</v>
      </c>
      <c r="H3" s="12">
        <v>12</v>
      </c>
      <c r="I3" s="12">
        <v>12</v>
      </c>
      <c r="J3" s="12">
        <v>12</v>
      </c>
      <c r="K3" s="12">
        <v>12</v>
      </c>
      <c r="L3" s="12">
        <v>12</v>
      </c>
    </row>
    <row r="4" spans="1:12">
      <c r="A4" s="5"/>
      <c r="B4" s="107">
        <v>43830</v>
      </c>
      <c r="C4" s="107">
        <v>44196</v>
      </c>
      <c r="D4" s="107">
        <v>44561</v>
      </c>
      <c r="E4" s="107">
        <v>44926</v>
      </c>
      <c r="F4" s="107">
        <v>45291</v>
      </c>
      <c r="G4" s="107">
        <v>45657</v>
      </c>
      <c r="H4" s="108">
        <v>46022</v>
      </c>
      <c r="I4" s="108">
        <v>46387</v>
      </c>
      <c r="J4" s="108">
        <v>46752</v>
      </c>
      <c r="K4" s="108">
        <v>47118</v>
      </c>
      <c r="L4" s="108">
        <v>47483</v>
      </c>
    </row>
    <row r="5" spans="1:12"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 s="1" customFormat="1">
      <c r="A6" s="317" t="s">
        <v>321</v>
      </c>
      <c r="B6" s="358"/>
      <c r="C6" s="358">
        <f t="shared" ref="C6:L6" si="0">B10</f>
        <v>80805</v>
      </c>
      <c r="D6" s="358">
        <f t="shared" si="0"/>
        <v>77451</v>
      </c>
      <c r="E6" s="358">
        <f t="shared" si="0"/>
        <v>79044</v>
      </c>
      <c r="F6" s="358">
        <f t="shared" si="0"/>
        <v>77949</v>
      </c>
      <c r="G6" s="358">
        <f t="shared" si="0"/>
        <v>80903</v>
      </c>
      <c r="H6" s="322">
        <f t="shared" si="0"/>
        <v>83490</v>
      </c>
      <c r="I6" s="322">
        <f t="shared" si="0"/>
        <v>73714.351791075984</v>
      </c>
      <c r="J6" s="322">
        <f t="shared" si="0"/>
        <v>82575.810230639298</v>
      </c>
      <c r="K6" s="322">
        <f t="shared" si="0"/>
        <v>92579.477299522652</v>
      </c>
      <c r="L6" s="322">
        <f t="shared" si="0"/>
        <v>103878.97007176607</v>
      </c>
    </row>
    <row r="7" spans="1:12">
      <c r="A7" s="141" t="s">
        <v>322</v>
      </c>
      <c r="B7" s="7"/>
      <c r="C7" s="7">
        <f t="shared" ref="C7:G7" si="1">C8-C6</f>
        <v>9178</v>
      </c>
      <c r="D7" s="7">
        <f t="shared" si="1"/>
        <v>13499</v>
      </c>
      <c r="E7" s="7">
        <f t="shared" si="1"/>
        <v>10042</v>
      </c>
      <c r="F7" s="7">
        <f t="shared" si="1"/>
        <v>14577</v>
      </c>
      <c r="G7" s="7">
        <f t="shared" si="1"/>
        <v>13897</v>
      </c>
      <c r="H7" s="7">
        <f>H8-H6</f>
        <v>592.78415451779438</v>
      </c>
      <c r="I7" s="7">
        <f t="shared" ref="I7:L7" si="2">I8-I6</f>
        <v>20476.316095225979</v>
      </c>
      <c r="J7" s="7">
        <f t="shared" si="2"/>
        <v>23025.609544122024</v>
      </c>
      <c r="K7" s="7">
        <f t="shared" si="2"/>
        <v>25910.786896157762</v>
      </c>
      <c r="L7" s="7">
        <f t="shared" si="2"/>
        <v>29178.428623839325</v>
      </c>
    </row>
    <row r="8" spans="1:12" s="1" customFormat="1">
      <c r="A8" s="317" t="s">
        <v>323</v>
      </c>
      <c r="B8" s="321">
        <f t="shared" ref="B8:G8" si="3">B10+B9</f>
        <v>94663</v>
      </c>
      <c r="C8" s="321">
        <f t="shared" si="3"/>
        <v>89983</v>
      </c>
      <c r="D8" s="321">
        <f t="shared" si="3"/>
        <v>90950</v>
      </c>
      <c r="E8" s="321">
        <f t="shared" si="3"/>
        <v>89086</v>
      </c>
      <c r="F8" s="321">
        <f t="shared" si="3"/>
        <v>92526</v>
      </c>
      <c r="G8" s="321">
        <f t="shared" si="3"/>
        <v>94800</v>
      </c>
      <c r="H8" s="359">
        <f>'GM-IS'!H8/'Fixed Asset Shedule'!$H$13</f>
        <v>84082.784154517794</v>
      </c>
      <c r="I8" s="359">
        <f>'GM-IS'!I8/'Fixed Asset Shedule'!$H$13</f>
        <v>94190.667886301962</v>
      </c>
      <c r="J8" s="359">
        <f>'GM-IS'!J8/'Fixed Asset Shedule'!$H$13</f>
        <v>105601.41977476132</v>
      </c>
      <c r="K8" s="359">
        <f>'GM-IS'!K8/'Fixed Asset Shedule'!$H$13</f>
        <v>118490.26419568041</v>
      </c>
      <c r="L8" s="359">
        <f>'GM-IS'!L8/'Fixed Asset Shedule'!$H$13</f>
        <v>133057.3986956054</v>
      </c>
    </row>
    <row r="9" spans="1:12">
      <c r="A9" s="141" t="s">
        <v>324</v>
      </c>
      <c r="B9" s="7">
        <f t="shared" ref="B9:G9" si="4">B20</f>
        <v>13858</v>
      </c>
      <c r="C9" s="7">
        <f t="shared" si="4"/>
        <v>12532</v>
      </c>
      <c r="D9" s="7">
        <f t="shared" si="4"/>
        <v>11906</v>
      </c>
      <c r="E9" s="7">
        <f t="shared" si="4"/>
        <v>11137</v>
      </c>
      <c r="F9" s="7">
        <f t="shared" si="4"/>
        <v>11623</v>
      </c>
      <c r="G9" s="7">
        <f t="shared" si="4"/>
        <v>11310</v>
      </c>
      <c r="H9" s="6">
        <f>H8*$H$15</f>
        <v>10368.432363441814</v>
      </c>
      <c r="I9" s="6">
        <f t="shared" ref="I9:L9" si="5">I8*$H$15</f>
        <v>11614.85765566267</v>
      </c>
      <c r="J9" s="6">
        <f t="shared" si="5"/>
        <v>13021.942475238664</v>
      </c>
      <c r="K9" s="6">
        <f t="shared" si="5"/>
        <v>14611.294123914342</v>
      </c>
      <c r="L9" s="6">
        <f t="shared" si="5"/>
        <v>16407.599399844203</v>
      </c>
    </row>
    <row r="10" spans="1:12" s="1" customFormat="1">
      <c r="A10" s="317" t="s">
        <v>325</v>
      </c>
      <c r="B10" s="360">
        <f>'GM-BS'!B17+'GM-BS'!B19</f>
        <v>80805</v>
      </c>
      <c r="C10" s="360">
        <f>'GM-BS'!C17+'GM-BS'!C19</f>
        <v>77451</v>
      </c>
      <c r="D10" s="360">
        <f>'GM-BS'!D17+'GM-BS'!D19</f>
        <v>79044</v>
      </c>
      <c r="E10" s="360">
        <f>'GM-BS'!E17+'GM-BS'!E19</f>
        <v>77949</v>
      </c>
      <c r="F10" s="360">
        <f>'GM-BS'!F17+'GM-BS'!F19</f>
        <v>80903</v>
      </c>
      <c r="G10" s="360">
        <f>'GM-BS'!G17+'GM-BS'!G19</f>
        <v>83490</v>
      </c>
      <c r="H10" s="361">
        <f t="shared" ref="H10:L10" si="6">H8-H9</f>
        <v>73714.351791075984</v>
      </c>
      <c r="I10" s="361">
        <f t="shared" si="6"/>
        <v>82575.810230639298</v>
      </c>
      <c r="J10" s="361">
        <f t="shared" si="6"/>
        <v>92579.477299522652</v>
      </c>
      <c r="K10" s="361">
        <f t="shared" si="6"/>
        <v>103878.97007176607</v>
      </c>
      <c r="L10" s="361">
        <f t="shared" si="6"/>
        <v>116649.7992957612</v>
      </c>
    </row>
    <row r="11" spans="1:12" ht="14.45" customHeight="1">
      <c r="A11" s="362"/>
      <c r="B11" s="794"/>
      <c r="C11" s="795"/>
      <c r="D11" s="794"/>
      <c r="E11" s="795"/>
      <c r="F11" s="796"/>
      <c r="G11" s="7"/>
      <c r="H11" s="794"/>
      <c r="I11" s="794"/>
      <c r="J11" s="794"/>
      <c r="K11" s="794"/>
      <c r="L11" s="6"/>
    </row>
    <row r="12" spans="1:12" ht="21">
      <c r="A12" s="363"/>
      <c r="B12" s="6"/>
      <c r="C12" s="364"/>
      <c r="D12" s="6"/>
      <c r="E12" s="6"/>
      <c r="F12" s="796"/>
      <c r="G12" s="7"/>
      <c r="H12" s="6"/>
      <c r="I12" s="6"/>
      <c r="J12" s="6"/>
      <c r="K12" s="6"/>
      <c r="L12" s="6"/>
    </row>
    <row r="13" spans="1:12">
      <c r="A13" s="141" t="s">
        <v>326</v>
      </c>
      <c r="B13" s="8">
        <f>'GM-IS'!B8/'Fixed Asset Shedule'!B10</f>
        <v>1.6983726254563456</v>
      </c>
      <c r="C13" s="8">
        <f>'GM-IS'!C8/'Fixed Asset Shedule'!C10</f>
        <v>1.5814514983667092</v>
      </c>
      <c r="D13" s="8">
        <f>'GM-IS'!D8/'Fixed Asset Shedule'!D10</f>
        <v>1.606750670512626</v>
      </c>
      <c r="E13" s="8">
        <f>'GM-IS'!E8/'Fixed Asset Shedule'!E10</f>
        <v>2.0107377900935228</v>
      </c>
      <c r="F13" s="8">
        <f>'GM-IS'!F8/'Fixed Asset Shedule'!F10</f>
        <v>2.1240497880177496</v>
      </c>
      <c r="G13" s="8">
        <f>'GM-IS'!G8/'Fixed Asset Shedule'!G10</f>
        <v>2.2450832435022159</v>
      </c>
      <c r="H13" s="426">
        <f>G13+0.25</f>
        <v>2.4950832435022159</v>
      </c>
      <c r="I13" s="8"/>
      <c r="J13" s="8"/>
      <c r="K13" s="8"/>
      <c r="L13" s="6"/>
    </row>
    <row r="14" spans="1:12">
      <c r="A14" s="141"/>
      <c r="B14" s="6"/>
      <c r="C14" s="6"/>
      <c r="D14" s="6"/>
      <c r="E14" s="6"/>
      <c r="F14" s="318"/>
      <c r="G14" s="7"/>
      <c r="H14" s="6"/>
      <c r="I14" s="6"/>
      <c r="J14" s="6"/>
      <c r="K14" s="6"/>
      <c r="L14" s="6"/>
    </row>
    <row r="15" spans="1:12">
      <c r="A15" s="141" t="s">
        <v>327</v>
      </c>
      <c r="B15" s="9">
        <f t="shared" ref="B15:G15" si="7">B9/B8</f>
        <v>0.14639299409484169</v>
      </c>
      <c r="C15" s="9">
        <f t="shared" si="7"/>
        <v>0.13927075114188237</v>
      </c>
      <c r="D15" s="9">
        <f t="shared" si="7"/>
        <v>0.13090709180868609</v>
      </c>
      <c r="E15" s="9">
        <f t="shared" si="7"/>
        <v>0.12501403138540287</v>
      </c>
      <c r="F15" s="9">
        <f t="shared" si="7"/>
        <v>0.12561874500140502</v>
      </c>
      <c r="G15" s="9">
        <f t="shared" si="7"/>
        <v>0.11930379746835443</v>
      </c>
      <c r="H15" s="310">
        <f>AVERAGE(E15:G15)</f>
        <v>0.12331219128505411</v>
      </c>
      <c r="I15" s="9"/>
      <c r="J15" s="9"/>
      <c r="K15" s="9"/>
      <c r="L15" s="9"/>
    </row>
    <row r="16" spans="1:12">
      <c r="A16" s="141"/>
      <c r="B16" s="9"/>
      <c r="C16" s="9"/>
      <c r="D16" s="9"/>
      <c r="E16" s="9"/>
      <c r="F16" s="9"/>
      <c r="G16" s="365"/>
      <c r="H16" s="366"/>
      <c r="I16" s="9"/>
      <c r="J16" s="9"/>
      <c r="K16" s="9"/>
      <c r="L16" s="9"/>
    </row>
    <row r="18" spans="1:12">
      <c r="A18" s="367" t="s">
        <v>328</v>
      </c>
      <c r="B18" s="308">
        <f>Raw!C83</f>
        <v>14014</v>
      </c>
      <c r="C18" s="308">
        <f>Raw!D83</f>
        <v>12651</v>
      </c>
      <c r="D18" s="308">
        <f>Raw!E83</f>
        <v>12026</v>
      </c>
      <c r="E18" s="308">
        <f>Raw!F83</f>
        <v>11255</v>
      </c>
      <c r="F18" s="308">
        <f>Raw!G83</f>
        <v>11716</v>
      </c>
      <c r="G18" s="308">
        <f>Raw!H83</f>
        <v>11376</v>
      </c>
      <c r="H18" s="320">
        <f t="shared" ref="H18:L18" si="8">H20*$H$21</f>
        <v>10452.873682818858</v>
      </c>
      <c r="I18" s="320">
        <f t="shared" si="8"/>
        <v>11709.449959536769</v>
      </c>
      <c r="J18" s="320">
        <f t="shared" si="8"/>
        <v>13127.994187292858</v>
      </c>
      <c r="K18" s="320">
        <f t="shared" si="8"/>
        <v>14730.289639377184</v>
      </c>
      <c r="L18" s="320">
        <f t="shared" si="8"/>
        <v>16541.224165147964</v>
      </c>
    </row>
    <row r="19" spans="1:12">
      <c r="A19" s="367" t="s">
        <v>329</v>
      </c>
      <c r="B19" s="308">
        <f>Raw!C82</f>
        <v>-156</v>
      </c>
      <c r="C19" s="308">
        <f>Raw!D82</f>
        <v>-119</v>
      </c>
      <c r="D19" s="308">
        <f>Raw!E82</f>
        <v>-120</v>
      </c>
      <c r="E19" s="308">
        <f>Raw!F82</f>
        <v>-118</v>
      </c>
      <c r="F19" s="308">
        <f>Raw!G82</f>
        <v>-93</v>
      </c>
      <c r="G19" s="308">
        <f>Raw!H82</f>
        <v>-66</v>
      </c>
      <c r="H19" s="320">
        <f t="shared" ref="H19:L19" si="9">H20*$H$22</f>
        <v>-84.441319377043882</v>
      </c>
      <c r="I19" s="320">
        <f t="shared" si="9"/>
        <v>-94.592303874097468</v>
      </c>
      <c r="J19" s="320">
        <f t="shared" si="9"/>
        <v>-106.05171205419437</v>
      </c>
      <c r="K19" s="320">
        <f t="shared" si="9"/>
        <v>-118.99551546284235</v>
      </c>
      <c r="L19" s="320">
        <f t="shared" si="9"/>
        <v>-133.62476530376151</v>
      </c>
    </row>
    <row r="20" spans="1:12" s="1" customFormat="1">
      <c r="A20" s="1" t="s">
        <v>330</v>
      </c>
      <c r="B20" s="368">
        <f t="shared" ref="B20:G20" si="10">B18+B19</f>
        <v>13858</v>
      </c>
      <c r="C20" s="368">
        <f t="shared" si="10"/>
        <v>12532</v>
      </c>
      <c r="D20" s="368">
        <f t="shared" si="10"/>
        <v>11906</v>
      </c>
      <c r="E20" s="368">
        <f t="shared" si="10"/>
        <v>11137</v>
      </c>
      <c r="F20" s="368">
        <f t="shared" si="10"/>
        <v>11623</v>
      </c>
      <c r="G20" s="368">
        <f t="shared" si="10"/>
        <v>11310</v>
      </c>
      <c r="H20" s="257">
        <f t="shared" ref="H20:L20" si="11">H9</f>
        <v>10368.432363441814</v>
      </c>
      <c r="I20" s="257">
        <f t="shared" si="11"/>
        <v>11614.85765566267</v>
      </c>
      <c r="J20" s="257">
        <f t="shared" si="11"/>
        <v>13021.942475238664</v>
      </c>
      <c r="K20" s="257">
        <f t="shared" si="11"/>
        <v>14611.294123914342</v>
      </c>
      <c r="L20" s="257">
        <f t="shared" si="11"/>
        <v>16407.599399844203</v>
      </c>
    </row>
    <row r="21" spans="1:12">
      <c r="A21" s="367" t="s">
        <v>331</v>
      </c>
      <c r="B21" s="25">
        <f t="shared" ref="B21:G21" si="12">B18/B20</f>
        <v>1.0112570356472796</v>
      </c>
      <c r="C21" s="25">
        <f t="shared" si="12"/>
        <v>1.0094956910309607</v>
      </c>
      <c r="D21" s="25">
        <f t="shared" si="12"/>
        <v>1.0100789517890139</v>
      </c>
      <c r="E21" s="25">
        <f t="shared" si="12"/>
        <v>1.0105953129208942</v>
      </c>
      <c r="F21" s="25">
        <f t="shared" si="12"/>
        <v>1.008001376580917</v>
      </c>
      <c r="G21" s="25">
        <f t="shared" si="12"/>
        <v>1.0058355437665782</v>
      </c>
      <c r="H21" s="310">
        <f>AVERAGE(E21:G21)</f>
        <v>1.0081440777561299</v>
      </c>
    </row>
    <row r="22" spans="1:12">
      <c r="A22" s="367" t="s">
        <v>332</v>
      </c>
      <c r="B22" s="369">
        <f t="shared" ref="B22:G22" si="13">B19/B20</f>
        <v>-1.125703564727955E-2</v>
      </c>
      <c r="C22" s="369">
        <f t="shared" si="13"/>
        <v>-9.4956910309607397E-3</v>
      </c>
      <c r="D22" s="369">
        <f t="shared" si="13"/>
        <v>-1.0078951789013942E-2</v>
      </c>
      <c r="E22" s="369">
        <f t="shared" si="13"/>
        <v>-1.0595312920894316E-2</v>
      </c>
      <c r="F22" s="369">
        <f t="shared" si="13"/>
        <v>-8.001376580917147E-3</v>
      </c>
      <c r="G22" s="369">
        <f t="shared" si="13"/>
        <v>-5.8355437665782491E-3</v>
      </c>
      <c r="H22" s="310">
        <f>AVERAGE(E22:G22)</f>
        <v>-8.144077756129903E-3</v>
      </c>
    </row>
    <row r="24" spans="1:12">
      <c r="A24" s="2" t="s">
        <v>333</v>
      </c>
      <c r="B24" s="4">
        <v>12</v>
      </c>
      <c r="C24" s="4">
        <v>12</v>
      </c>
      <c r="D24" s="4">
        <v>12</v>
      </c>
      <c r="E24" s="4">
        <v>12</v>
      </c>
      <c r="F24" s="4">
        <v>12</v>
      </c>
      <c r="G24" s="4">
        <v>12</v>
      </c>
      <c r="H24" s="12">
        <v>12</v>
      </c>
      <c r="I24" s="12">
        <v>12</v>
      </c>
      <c r="J24" s="12">
        <v>12</v>
      </c>
      <c r="K24" s="12">
        <v>12</v>
      </c>
      <c r="L24" s="12">
        <v>12</v>
      </c>
    </row>
    <row r="25" spans="1:12">
      <c r="A25" s="5"/>
      <c r="B25" s="107">
        <v>43830</v>
      </c>
      <c r="C25" s="107">
        <v>44196</v>
      </c>
      <c r="D25" s="107">
        <v>44561</v>
      </c>
      <c r="E25" s="107">
        <v>44926</v>
      </c>
      <c r="F25" s="107">
        <v>45291</v>
      </c>
      <c r="G25" s="107">
        <v>45657</v>
      </c>
      <c r="H25" s="108">
        <v>46022</v>
      </c>
      <c r="I25" s="108">
        <v>46387</v>
      </c>
      <c r="J25" s="108">
        <v>46752</v>
      </c>
      <c r="K25" s="108">
        <v>47118</v>
      </c>
      <c r="L25" s="108">
        <v>47483</v>
      </c>
    </row>
    <row r="27" spans="1:12" s="1" customFormat="1">
      <c r="A27" s="317" t="s">
        <v>321</v>
      </c>
      <c r="C27" s="368">
        <f t="shared" ref="C27:L27" si="14">B31</f>
        <v>5337</v>
      </c>
      <c r="D27" s="368">
        <f t="shared" si="14"/>
        <v>5230</v>
      </c>
      <c r="E27" s="368">
        <f t="shared" si="14"/>
        <v>5087</v>
      </c>
      <c r="F27" s="368">
        <f t="shared" si="14"/>
        <v>4945</v>
      </c>
      <c r="G27" s="368">
        <f t="shared" si="14"/>
        <v>4862</v>
      </c>
      <c r="H27" s="368">
        <f t="shared" si="14"/>
        <v>4551</v>
      </c>
      <c r="I27" s="368">
        <f t="shared" si="14"/>
        <v>4436.0475451553975</v>
      </c>
      <c r="J27" s="368">
        <f t="shared" si="14"/>
        <v>4324.211616697984</v>
      </c>
      <c r="K27" s="368">
        <f t="shared" si="14"/>
        <v>4215.407721114897</v>
      </c>
      <c r="L27" s="368">
        <f t="shared" si="14"/>
        <v>4109.5536556339339</v>
      </c>
    </row>
    <row r="28" spans="1:12">
      <c r="A28" s="141" t="s">
        <v>322</v>
      </c>
      <c r="B28" s="308"/>
      <c r="C28" s="308">
        <f>C29-C27</f>
        <v>37</v>
      </c>
      <c r="D28" s="308">
        <f>D29-D27</f>
        <v>-2</v>
      </c>
      <c r="E28" s="308">
        <f>E29-E27</f>
        <v>-3</v>
      </c>
      <c r="F28" s="308">
        <f>F29-F27</f>
        <v>31</v>
      </c>
      <c r="G28" s="308">
        <f>G29-G27</f>
        <v>-165</v>
      </c>
      <c r="H28" s="6">
        <f>AVERAGE(D28:F28)</f>
        <v>8.6666666666666661</v>
      </c>
      <c r="I28" s="6">
        <f>H28</f>
        <v>8.6666666666666661</v>
      </c>
      <c r="J28" s="6">
        <f>I28</f>
        <v>8.6666666666666661</v>
      </c>
      <c r="K28" s="6">
        <f>J28</f>
        <v>8.6666666666666661</v>
      </c>
      <c r="L28" s="6">
        <f>K28</f>
        <v>8.6666666666666661</v>
      </c>
    </row>
    <row r="29" spans="1:12" s="1" customFormat="1">
      <c r="A29" s="317" t="s">
        <v>334</v>
      </c>
      <c r="B29" s="370">
        <f t="shared" ref="B29:G29" si="15">B31+B30</f>
        <v>5539</v>
      </c>
      <c r="C29" s="370">
        <f t="shared" si="15"/>
        <v>5374</v>
      </c>
      <c r="D29" s="370">
        <f t="shared" si="15"/>
        <v>5228</v>
      </c>
      <c r="E29" s="370">
        <f t="shared" si="15"/>
        <v>5084</v>
      </c>
      <c r="F29" s="370">
        <f t="shared" si="15"/>
        <v>4976</v>
      </c>
      <c r="G29" s="370">
        <f t="shared" si="15"/>
        <v>4697</v>
      </c>
      <c r="H29" s="371">
        <f t="shared" ref="H29:L29" si="16">H27+H28</f>
        <v>4559.666666666667</v>
      </c>
      <c r="I29" s="371">
        <f t="shared" si="16"/>
        <v>4444.7142118220645</v>
      </c>
      <c r="J29" s="371">
        <f t="shared" si="16"/>
        <v>4332.878283364651</v>
      </c>
      <c r="K29" s="371">
        <f t="shared" si="16"/>
        <v>4224.0743877815639</v>
      </c>
      <c r="L29" s="371">
        <f t="shared" si="16"/>
        <v>4118.2203223006009</v>
      </c>
    </row>
    <row r="30" spans="1:12">
      <c r="A30" s="141" t="s">
        <v>335</v>
      </c>
      <c r="B30" s="308">
        <f>Raw!C81</f>
        <v>202</v>
      </c>
      <c r="C30" s="308">
        <f>Raw!D81</f>
        <v>144</v>
      </c>
      <c r="D30" s="308">
        <f>Raw!E81</f>
        <v>141</v>
      </c>
      <c r="E30" s="308">
        <f>Raw!F81</f>
        <v>139</v>
      </c>
      <c r="F30" s="308">
        <f>Raw!G81</f>
        <v>114</v>
      </c>
      <c r="G30" s="308">
        <f>Raw!H81</f>
        <v>146</v>
      </c>
      <c r="H30" s="377">
        <f>H29*H34</f>
        <v>123.6191215112696</v>
      </c>
      <c r="I30" s="320">
        <f>I29*$H$34</f>
        <v>120.50259512408041</v>
      </c>
      <c r="J30" s="320">
        <f>J29*$H$34</f>
        <v>117.47056224975422</v>
      </c>
      <c r="K30" s="320">
        <f>K29*$H$34</f>
        <v>114.52073214763014</v>
      </c>
      <c r="L30" s="320">
        <f>L29*$H$34</f>
        <v>111.65087618232133</v>
      </c>
    </row>
    <row r="31" spans="1:12" s="1" customFormat="1">
      <c r="A31" s="317" t="s">
        <v>325</v>
      </c>
      <c r="B31" s="372">
        <f>'GM-BS'!B18</f>
        <v>5337</v>
      </c>
      <c r="C31" s="372">
        <f>'GM-BS'!C18</f>
        <v>5230</v>
      </c>
      <c r="D31" s="372">
        <f>'GM-BS'!D18</f>
        <v>5087</v>
      </c>
      <c r="E31" s="372">
        <f>'GM-BS'!E18</f>
        <v>4945</v>
      </c>
      <c r="F31" s="372">
        <f>'GM-BS'!F18</f>
        <v>4862</v>
      </c>
      <c r="G31" s="372">
        <f>'GM-BS'!G18</f>
        <v>4551</v>
      </c>
      <c r="H31" s="373">
        <f t="shared" ref="H31:L31" si="17">H29-H30</f>
        <v>4436.0475451553975</v>
      </c>
      <c r="I31" s="373">
        <f t="shared" si="17"/>
        <v>4324.211616697984</v>
      </c>
      <c r="J31" s="373">
        <f t="shared" si="17"/>
        <v>4215.407721114897</v>
      </c>
      <c r="K31" s="373">
        <f t="shared" si="17"/>
        <v>4109.5536556339339</v>
      </c>
      <c r="L31" s="373">
        <f t="shared" si="17"/>
        <v>4006.5694461182793</v>
      </c>
    </row>
    <row r="32" spans="1:12">
      <c r="A32" s="362"/>
      <c r="B32" s="794"/>
      <c r="C32" s="795"/>
      <c r="D32" s="794"/>
      <c r="E32" s="795"/>
      <c r="F32" s="796"/>
      <c r="H32" s="794"/>
      <c r="I32" s="794"/>
      <c r="J32" s="794"/>
      <c r="K32" s="794"/>
    </row>
    <row r="33" spans="1:11">
      <c r="B33" s="374"/>
      <c r="E33" s="320"/>
      <c r="F33" s="796"/>
    </row>
    <row r="34" spans="1:11">
      <c r="A34" s="141" t="s">
        <v>336</v>
      </c>
      <c r="B34" s="375">
        <f t="shared" ref="B34:G34" si="18">B30/B29</f>
        <v>3.6468676656436182E-2</v>
      </c>
      <c r="C34" s="375">
        <f t="shared" si="18"/>
        <v>2.6795682917752139E-2</v>
      </c>
      <c r="D34" s="375">
        <f t="shared" si="18"/>
        <v>2.6970160673297629E-2</v>
      </c>
      <c r="E34" s="375">
        <f t="shared" si="18"/>
        <v>2.7340676632572777E-2</v>
      </c>
      <c r="F34" s="375">
        <f t="shared" si="18"/>
        <v>2.2909967845659164E-2</v>
      </c>
      <c r="G34" s="375">
        <f t="shared" si="18"/>
        <v>3.1083670427932725E-2</v>
      </c>
      <c r="H34" s="310">
        <f>AVERAGE(E34:G34)</f>
        <v>2.7111438302054886E-2</v>
      </c>
      <c r="I34" s="376"/>
      <c r="J34" s="376"/>
      <c r="K34" s="376"/>
    </row>
    <row r="38" spans="1:11">
      <c r="B38" s="320"/>
      <c r="C38" s="320"/>
      <c r="D38" s="320"/>
      <c r="E38" s="320"/>
    </row>
    <row r="39" spans="1:11">
      <c r="B39" s="320"/>
      <c r="C39" s="320"/>
      <c r="D39" s="320"/>
      <c r="E39" s="320"/>
    </row>
    <row r="40" spans="1:11">
      <c r="B40" s="308"/>
      <c r="C40" s="308"/>
      <c r="D40" s="308"/>
      <c r="E40" s="308"/>
    </row>
    <row r="41" spans="1:11">
      <c r="B41" s="320"/>
      <c r="C41" s="320"/>
      <c r="D41" s="320"/>
      <c r="E41" s="320"/>
    </row>
  </sheetData>
  <mergeCells count="8">
    <mergeCell ref="B11:C11"/>
    <mergeCell ref="D11:E11"/>
    <mergeCell ref="F11:F12"/>
    <mergeCell ref="H11:K11"/>
    <mergeCell ref="B32:C32"/>
    <mergeCell ref="D32:E32"/>
    <mergeCell ref="F32:F33"/>
    <mergeCell ref="H32:K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R1026"/>
  <sheetViews>
    <sheetView topLeftCell="A8" workbookViewId="0">
      <selection activeCell="C22" sqref="C22"/>
    </sheetView>
  </sheetViews>
  <sheetFormatPr defaultColWidth="9" defaultRowHeight="15"/>
  <cols>
    <col min="1" max="1" width="3.5703125" customWidth="1"/>
    <col min="2" max="2" width="11.5703125" customWidth="1"/>
    <col min="3" max="3" width="19.7109375" customWidth="1"/>
    <col min="4" max="4" width="9.5703125" customWidth="1"/>
    <col min="5" max="5" width="10.42578125" customWidth="1"/>
    <col min="6" max="6" width="11" customWidth="1"/>
    <col min="11" max="11" width="13.7109375" customWidth="1"/>
    <col min="12" max="15" width="13.5703125" customWidth="1"/>
    <col min="16" max="16" width="10.7109375" customWidth="1"/>
  </cols>
  <sheetData>
    <row r="2" spans="2:9" ht="31.5">
      <c r="B2" s="113" t="s">
        <v>199</v>
      </c>
    </row>
    <row r="4" spans="2:9" ht="16.5" thickBot="1">
      <c r="C4" s="114" t="s">
        <v>200</v>
      </c>
      <c r="D4" s="114" t="s">
        <v>201</v>
      </c>
      <c r="E4" s="115" t="s">
        <v>202</v>
      </c>
      <c r="F4" s="114" t="s">
        <v>203</v>
      </c>
    </row>
    <row r="5" spans="2:9">
      <c r="C5" s="116" t="s">
        <v>211</v>
      </c>
      <c r="D5" s="117">
        <f>SLOPE($D$21:$D$229,$R$21:$R$229)</f>
        <v>1.3601153507137331</v>
      </c>
      <c r="E5" s="118"/>
      <c r="F5" s="117">
        <f>RSQ($D$21:$D$227,$R$21:$R$227)</f>
        <v>0.37731341844873406</v>
      </c>
      <c r="H5" t="s">
        <v>204</v>
      </c>
    </row>
    <row r="6" spans="2:9">
      <c r="C6" s="116" t="s">
        <v>217</v>
      </c>
      <c r="D6" s="117">
        <f>SLOPE($H$21:$H$229,$R$21:$R$229)</f>
        <v>1.3773873833989476</v>
      </c>
      <c r="E6" s="120"/>
      <c r="F6" s="117">
        <f>RSQ($H$21:$H$227,$R$21:$R$227)</f>
        <v>0.32369877196167079</v>
      </c>
    </row>
    <row r="7" spans="2:9">
      <c r="C7" s="121" t="s">
        <v>219</v>
      </c>
      <c r="D7" s="117">
        <f>SLOPE($M$21:$M$229,$R$21:$R$229)</f>
        <v>0.78537511692290984</v>
      </c>
      <c r="E7" s="120"/>
      <c r="F7" s="117">
        <f>RSQ($M$21:$M$227,$R$21:$R$227)</f>
        <v>4.5749507058236397E-2</v>
      </c>
    </row>
    <row r="8" spans="2:9">
      <c r="C8" s="121"/>
      <c r="D8" s="117"/>
      <c r="E8" s="120"/>
      <c r="F8" s="117"/>
      <c r="I8" t="s">
        <v>205</v>
      </c>
    </row>
    <row r="9" spans="2:9">
      <c r="C9" s="121"/>
      <c r="D9" s="117"/>
      <c r="E9" s="120"/>
      <c r="F9" s="117"/>
    </row>
    <row r="10" spans="2:9">
      <c r="C10" s="121"/>
      <c r="D10" s="117"/>
      <c r="E10" s="120"/>
      <c r="F10" s="122"/>
    </row>
    <row r="11" spans="2:9">
      <c r="C11" s="121"/>
      <c r="D11" s="117"/>
      <c r="E11" s="120"/>
      <c r="F11" s="122"/>
    </row>
    <row r="12" spans="2:9">
      <c r="C12" s="121"/>
      <c r="D12" s="117"/>
      <c r="E12" s="120"/>
      <c r="F12" s="119"/>
    </row>
    <row r="13" spans="2:9">
      <c r="C13" s="121"/>
      <c r="D13" s="117"/>
      <c r="E13" s="120"/>
      <c r="F13" s="119"/>
    </row>
    <row r="14" spans="2:9">
      <c r="C14" s="121"/>
      <c r="D14" s="117"/>
      <c r="E14" s="120"/>
      <c r="F14" s="122"/>
    </row>
    <row r="15" spans="2:9">
      <c r="C15" s="121"/>
      <c r="D15" s="117"/>
      <c r="E15" s="120"/>
      <c r="F15" s="119"/>
    </row>
    <row r="16" spans="2:9" ht="15.75" thickBot="1">
      <c r="C16" s="123"/>
      <c r="D16" s="117"/>
      <c r="E16" s="124"/>
      <c r="F16" s="125"/>
    </row>
    <row r="17" spans="2:18">
      <c r="C17" s="800" t="s">
        <v>206</v>
      </c>
      <c r="D17" s="800"/>
    </row>
    <row r="18" spans="2:18">
      <c r="C18" s="1"/>
    </row>
    <row r="19" spans="2:18" ht="18.75">
      <c r="B19" s="797" t="s">
        <v>211</v>
      </c>
      <c r="C19" s="798"/>
      <c r="D19" s="799"/>
      <c r="F19" s="797" t="s">
        <v>217</v>
      </c>
      <c r="G19" s="798"/>
      <c r="H19" s="799"/>
      <c r="K19" s="797" t="s">
        <v>218</v>
      </c>
      <c r="L19" s="798"/>
      <c r="M19" s="799"/>
      <c r="N19" s="126"/>
      <c r="O19" s="126"/>
      <c r="P19" s="797" t="s">
        <v>207</v>
      </c>
      <c r="Q19" s="798"/>
      <c r="R19" s="799"/>
    </row>
    <row r="20" spans="2:18">
      <c r="B20" s="127" t="s">
        <v>208</v>
      </c>
      <c r="C20" s="128" t="s">
        <v>209</v>
      </c>
      <c r="D20" s="129" t="s">
        <v>210</v>
      </c>
      <c r="F20" s="130" t="s">
        <v>208</v>
      </c>
      <c r="G20" s="131" t="s">
        <v>209</v>
      </c>
      <c r="H20" s="132" t="s">
        <v>210</v>
      </c>
      <c r="K20" s="130" t="s">
        <v>208</v>
      </c>
      <c r="L20" s="131" t="s">
        <v>209</v>
      </c>
      <c r="M20" s="133" t="s">
        <v>210</v>
      </c>
      <c r="P20" s="130" t="s">
        <v>208</v>
      </c>
      <c r="Q20" s="131" t="s">
        <v>209</v>
      </c>
      <c r="R20" s="133" t="s">
        <v>210</v>
      </c>
    </row>
    <row r="21" spans="2:18">
      <c r="B21" s="137">
        <v>45746</v>
      </c>
      <c r="C21">
        <v>44.18</v>
      </c>
      <c r="D21" s="134">
        <f>C21/C22-1</f>
        <v>-5.3556126820908267E-2</v>
      </c>
      <c r="F21" s="137">
        <v>45746</v>
      </c>
      <c r="G21">
        <v>9.58</v>
      </c>
      <c r="H21" s="134">
        <f>G21/G22-1</f>
        <v>-1.440329218107006E-2</v>
      </c>
      <c r="K21" s="137">
        <v>45746</v>
      </c>
      <c r="L21">
        <v>23.07</v>
      </c>
      <c r="M21" s="134">
        <f>L21/L22-1</f>
        <v>-9.6003134796238232E-2</v>
      </c>
      <c r="N21" s="135"/>
      <c r="O21" s="135"/>
      <c r="P21" s="137">
        <v>45746</v>
      </c>
      <c r="Q21" s="136">
        <v>5074.08</v>
      </c>
      <c r="R21" s="134">
        <f>Q21/Q22-1</f>
        <v>-9.0819826050808627E-2</v>
      </c>
    </row>
    <row r="22" spans="2:18">
      <c r="B22" s="137">
        <v>45739</v>
      </c>
      <c r="C22">
        <v>46.68</v>
      </c>
      <c r="D22" s="134">
        <f t="shared" ref="D22:D85" si="0">C22/C23-1</f>
        <v>-6.2650602409638489E-2</v>
      </c>
      <c r="F22" s="137">
        <v>45739</v>
      </c>
      <c r="G22">
        <v>9.7200000000000006</v>
      </c>
      <c r="H22" s="134">
        <f t="shared" ref="H22:H85" si="1">G22/G23-1</f>
        <v>-2.7999999999999914E-2</v>
      </c>
      <c r="K22" s="137">
        <v>45739</v>
      </c>
      <c r="L22">
        <v>25.52</v>
      </c>
      <c r="M22" s="134">
        <f t="shared" ref="M22:M85" si="2">L22/L23-1</f>
        <v>-3.3333333333333326E-2</v>
      </c>
      <c r="N22" s="135"/>
      <c r="O22" s="135"/>
      <c r="P22" s="137">
        <v>45739</v>
      </c>
      <c r="Q22" s="136">
        <v>5580.94</v>
      </c>
      <c r="R22" s="134">
        <f t="shared" ref="R22:R85" si="3">Q22/Q23-1</f>
        <v>-1.5283472958380839E-2</v>
      </c>
    </row>
    <row r="23" spans="2:18">
      <c r="B23" s="137">
        <v>45732</v>
      </c>
      <c r="C23">
        <v>49.8</v>
      </c>
      <c r="D23" s="134">
        <f t="shared" si="0"/>
        <v>3.0202730657840071E-2</v>
      </c>
      <c r="F23" s="137">
        <v>45732</v>
      </c>
      <c r="G23">
        <v>10</v>
      </c>
      <c r="H23" s="134">
        <f t="shared" si="1"/>
        <v>2.7749229188078095E-2</v>
      </c>
      <c r="K23" s="137">
        <v>45732</v>
      </c>
      <c r="L23">
        <v>26.4</v>
      </c>
      <c r="M23" s="134">
        <f t="shared" si="2"/>
        <v>-3.8601602330662899E-2</v>
      </c>
      <c r="N23" s="135"/>
      <c r="O23" s="135"/>
      <c r="P23" s="137">
        <v>45732</v>
      </c>
      <c r="Q23" s="136">
        <v>5667.56</v>
      </c>
      <c r="R23" s="134">
        <f t="shared" si="3"/>
        <v>5.0754219764708175E-3</v>
      </c>
    </row>
    <row r="24" spans="2:18">
      <c r="B24" s="137">
        <v>45725</v>
      </c>
      <c r="C24">
        <v>48.34</v>
      </c>
      <c r="D24" s="134">
        <f t="shared" si="0"/>
        <v>1.8971332209106295E-2</v>
      </c>
      <c r="F24" s="137">
        <v>45725</v>
      </c>
      <c r="G24">
        <v>9.73</v>
      </c>
      <c r="H24" s="134">
        <f t="shared" si="1"/>
        <v>-1.7171717171717171E-2</v>
      </c>
      <c r="K24" s="137">
        <v>45725</v>
      </c>
      <c r="L24">
        <v>27.46</v>
      </c>
      <c r="M24" s="134">
        <f t="shared" si="2"/>
        <v>-5.3756030323914517E-2</v>
      </c>
      <c r="N24" s="135"/>
      <c r="O24" s="135"/>
      <c r="P24" s="137">
        <v>45725</v>
      </c>
      <c r="Q24" s="136">
        <v>5638.94</v>
      </c>
      <c r="R24" s="134">
        <f t="shared" si="3"/>
        <v>-2.2747911684170452E-2</v>
      </c>
    </row>
    <row r="25" spans="2:18">
      <c r="B25" s="137">
        <v>45718</v>
      </c>
      <c r="C25">
        <v>47.44</v>
      </c>
      <c r="D25" s="134">
        <f t="shared" si="0"/>
        <v>-3.4398534500305389E-2</v>
      </c>
      <c r="F25" s="137">
        <v>45718</v>
      </c>
      <c r="G25">
        <v>9.9</v>
      </c>
      <c r="H25" s="134">
        <f t="shared" si="1"/>
        <v>3.6649214659685736E-2</v>
      </c>
      <c r="K25" s="137">
        <v>45718</v>
      </c>
      <c r="L25">
        <v>29.02</v>
      </c>
      <c r="M25" s="134">
        <f t="shared" si="2"/>
        <v>-5.564594858444516E-2</v>
      </c>
      <c r="N25" s="135"/>
      <c r="O25" s="135"/>
      <c r="P25" s="137">
        <v>45718</v>
      </c>
      <c r="Q25" s="136">
        <v>5770.2</v>
      </c>
      <c r="R25" s="134">
        <f t="shared" si="3"/>
        <v>-3.0951381308254255E-2</v>
      </c>
    </row>
    <row r="26" spans="2:18">
      <c r="B26" s="137">
        <v>45711</v>
      </c>
      <c r="C26">
        <v>49.13</v>
      </c>
      <c r="D26" s="134">
        <f t="shared" si="0"/>
        <v>6.1352343918773089E-2</v>
      </c>
      <c r="F26" s="137">
        <v>45711</v>
      </c>
      <c r="G26">
        <v>9.5500000000000007</v>
      </c>
      <c r="H26" s="134">
        <f t="shared" si="1"/>
        <v>2.9094827586207073E-2</v>
      </c>
      <c r="K26" s="137">
        <v>45711</v>
      </c>
      <c r="L26">
        <v>30.73</v>
      </c>
      <c r="M26" s="134">
        <f t="shared" si="2"/>
        <v>0.1190823015294975</v>
      </c>
      <c r="N26" s="135"/>
      <c r="O26" s="135"/>
      <c r="P26" s="137">
        <v>45711</v>
      </c>
      <c r="Q26" s="136">
        <v>5954.5</v>
      </c>
      <c r="R26" s="134">
        <f t="shared" si="3"/>
        <v>-9.7503296951837459E-3</v>
      </c>
    </row>
    <row r="27" spans="2:18">
      <c r="B27" s="137">
        <v>45704</v>
      </c>
      <c r="C27">
        <v>46.29</v>
      </c>
      <c r="D27" s="134">
        <f t="shared" si="0"/>
        <v>-4.3001860657432278E-2</v>
      </c>
      <c r="F27" s="137">
        <v>45704</v>
      </c>
      <c r="G27">
        <v>9.2799999999999994</v>
      </c>
      <c r="H27" s="134">
        <f t="shared" si="1"/>
        <v>-5.3590568060022381E-3</v>
      </c>
      <c r="K27" s="137">
        <v>45704</v>
      </c>
      <c r="L27">
        <v>27.46</v>
      </c>
      <c r="M27" s="134">
        <f t="shared" si="2"/>
        <v>6.2693498452012442E-2</v>
      </c>
      <c r="N27" s="135"/>
      <c r="O27" s="135"/>
      <c r="P27" s="137">
        <v>45704</v>
      </c>
      <c r="Q27" s="136">
        <v>6013.13</v>
      </c>
      <c r="R27" s="134">
        <f t="shared" si="3"/>
        <v>-1.6599532596412225E-2</v>
      </c>
    </row>
    <row r="28" spans="2:18">
      <c r="B28" s="137">
        <v>45697</v>
      </c>
      <c r="C28">
        <v>48.37</v>
      </c>
      <c r="D28" s="134">
        <f t="shared" si="0"/>
        <v>2.0679468242245092E-2</v>
      </c>
      <c r="F28" s="137">
        <v>45697</v>
      </c>
      <c r="G28">
        <v>9.33</v>
      </c>
      <c r="H28" s="134">
        <f t="shared" si="1"/>
        <v>2.64026402640265E-2</v>
      </c>
      <c r="K28" s="137">
        <v>45697</v>
      </c>
      <c r="L28">
        <v>25.84</v>
      </c>
      <c r="M28" s="134">
        <f t="shared" si="2"/>
        <v>-6.9177555726364082E-3</v>
      </c>
      <c r="N28" s="135"/>
      <c r="O28" s="135"/>
      <c r="P28" s="137">
        <v>45697</v>
      </c>
      <c r="Q28" s="136">
        <v>6114.63</v>
      </c>
      <c r="R28" s="134">
        <f t="shared" si="3"/>
        <v>1.4709616179250373E-2</v>
      </c>
    </row>
    <row r="29" spans="2:18">
      <c r="B29" s="137">
        <v>45690</v>
      </c>
      <c r="C29">
        <v>47.39</v>
      </c>
      <c r="D29" s="134">
        <f t="shared" si="0"/>
        <v>-4.1852001617468715E-2</v>
      </c>
      <c r="F29" s="137">
        <v>45690</v>
      </c>
      <c r="G29">
        <v>9.09</v>
      </c>
      <c r="H29" s="134">
        <f t="shared" si="1"/>
        <v>-8.3669354838709631E-2</v>
      </c>
      <c r="K29" s="137">
        <v>45690</v>
      </c>
      <c r="L29">
        <v>26.02</v>
      </c>
      <c r="M29" s="134">
        <f t="shared" si="2"/>
        <v>0.11101622544833467</v>
      </c>
      <c r="N29" s="135"/>
      <c r="O29" s="135"/>
      <c r="P29" s="137">
        <v>45690</v>
      </c>
      <c r="Q29" s="136">
        <v>6025.99</v>
      </c>
      <c r="R29" s="134">
        <f t="shared" si="3"/>
        <v>-2.4070735514929442E-3</v>
      </c>
    </row>
    <row r="30" spans="2:18">
      <c r="B30" s="137">
        <v>45683</v>
      </c>
      <c r="C30">
        <v>49.46</v>
      </c>
      <c r="D30" s="134">
        <f t="shared" si="0"/>
        <v>-8.2544982378037424E-2</v>
      </c>
      <c r="F30" s="137">
        <v>45683</v>
      </c>
      <c r="G30">
        <v>9.92</v>
      </c>
      <c r="H30" s="134">
        <f t="shared" si="1"/>
        <v>-1.9762845849802257E-2</v>
      </c>
      <c r="K30" s="137">
        <v>45683</v>
      </c>
      <c r="L30">
        <v>23.42</v>
      </c>
      <c r="M30" s="134">
        <f t="shared" si="2"/>
        <v>9.0478242137010945E-3</v>
      </c>
      <c r="N30" s="135"/>
      <c r="O30" s="135"/>
      <c r="P30" s="137">
        <v>45683</v>
      </c>
      <c r="Q30" s="136">
        <v>6040.53</v>
      </c>
      <c r="R30" s="134">
        <f t="shared" si="3"/>
        <v>-9.9504363047511202E-3</v>
      </c>
    </row>
    <row r="31" spans="2:18">
      <c r="B31" s="137">
        <v>45676</v>
      </c>
      <c r="C31">
        <v>53.91</v>
      </c>
      <c r="D31" s="134">
        <f t="shared" si="0"/>
        <v>5.7680988816951162E-2</v>
      </c>
      <c r="F31" s="137">
        <v>45676</v>
      </c>
      <c r="G31">
        <v>10.119999999999999</v>
      </c>
      <c r="H31" s="134">
        <f t="shared" si="1"/>
        <v>-5.893909626719096E-3</v>
      </c>
      <c r="K31" s="137">
        <v>45676</v>
      </c>
      <c r="L31">
        <v>23.21</v>
      </c>
      <c r="M31" s="134">
        <f t="shared" si="2"/>
        <v>2.7445772465692908E-2</v>
      </c>
      <c r="N31" s="135"/>
      <c r="O31" s="135"/>
      <c r="P31" s="137">
        <v>45676</v>
      </c>
      <c r="Q31" s="136">
        <v>6101.24</v>
      </c>
      <c r="R31" s="134">
        <f t="shared" si="3"/>
        <v>1.7439708104177942E-2</v>
      </c>
    </row>
    <row r="32" spans="2:18">
      <c r="B32" s="137">
        <v>45669</v>
      </c>
      <c r="C32">
        <v>50.97</v>
      </c>
      <c r="D32" s="134">
        <f t="shared" si="0"/>
        <v>2.2467402206619802E-2</v>
      </c>
      <c r="F32" s="137">
        <v>45669</v>
      </c>
      <c r="G32">
        <v>10.18</v>
      </c>
      <c r="H32" s="134">
        <f t="shared" si="1"/>
        <v>5.4922279792745998E-2</v>
      </c>
      <c r="K32" s="137">
        <v>45669</v>
      </c>
      <c r="L32">
        <v>22.59</v>
      </c>
      <c r="M32" s="134">
        <f t="shared" si="2"/>
        <v>1.5737410071942515E-2</v>
      </c>
      <c r="N32" s="135"/>
      <c r="O32" s="135"/>
      <c r="P32" s="137">
        <v>45669</v>
      </c>
      <c r="Q32" s="136">
        <v>5996.66</v>
      </c>
      <c r="R32" s="134">
        <f t="shared" si="3"/>
        <v>2.9109118866525785E-2</v>
      </c>
    </row>
    <row r="33" spans="2:18">
      <c r="B33" s="137">
        <v>45662</v>
      </c>
      <c r="C33">
        <v>49.85</v>
      </c>
      <c r="D33" s="134">
        <f t="shared" si="0"/>
        <v>-3.708711609039983E-2</v>
      </c>
      <c r="F33" s="137">
        <v>45662</v>
      </c>
      <c r="G33">
        <v>9.65</v>
      </c>
      <c r="H33" s="134">
        <f t="shared" si="1"/>
        <v>-2.3279352226720729E-2</v>
      </c>
      <c r="K33" s="137">
        <v>45662</v>
      </c>
      <c r="L33">
        <v>22.24</v>
      </c>
      <c r="M33" s="134">
        <f t="shared" si="2"/>
        <v>-0.10141414141414151</v>
      </c>
      <c r="N33" s="135"/>
      <c r="O33" s="135"/>
      <c r="P33" s="137">
        <v>45662</v>
      </c>
      <c r="Q33" s="136">
        <v>5827.04</v>
      </c>
      <c r="R33" s="134">
        <f t="shared" si="3"/>
        <v>-1.9424582707190829E-2</v>
      </c>
    </row>
    <row r="34" spans="2:18">
      <c r="B34" s="137">
        <v>45655</v>
      </c>
      <c r="C34">
        <v>51.77</v>
      </c>
      <c r="D34" s="134">
        <f t="shared" si="0"/>
        <v>-4.6241709653647711E-2</v>
      </c>
      <c r="F34" s="137">
        <v>45655</v>
      </c>
      <c r="G34">
        <v>9.8800000000000008</v>
      </c>
      <c r="H34" s="134">
        <f t="shared" si="1"/>
        <v>-1.4955134596211228E-2</v>
      </c>
      <c r="K34" s="137">
        <v>45655</v>
      </c>
      <c r="L34">
        <v>24.75</v>
      </c>
      <c r="M34" s="134">
        <f t="shared" si="2"/>
        <v>-2.9030992546096424E-2</v>
      </c>
      <c r="N34" s="135"/>
      <c r="O34" s="135"/>
      <c r="P34" s="137">
        <v>45655</v>
      </c>
      <c r="Q34" s="136">
        <v>5942.47</v>
      </c>
      <c r="R34" s="134">
        <f t="shared" si="3"/>
        <v>-4.7514252600974194E-3</v>
      </c>
    </row>
    <row r="35" spans="2:18">
      <c r="B35" s="137">
        <v>45648</v>
      </c>
      <c r="C35">
        <v>54.28</v>
      </c>
      <c r="D35" s="134">
        <f t="shared" si="0"/>
        <v>4.7674194171009487E-2</v>
      </c>
      <c r="F35" s="137">
        <v>45648</v>
      </c>
      <c r="G35">
        <v>10.029999999999999</v>
      </c>
      <c r="H35" s="134">
        <f t="shared" si="1"/>
        <v>1.5182186234817596E-2</v>
      </c>
      <c r="K35" s="137">
        <v>45648</v>
      </c>
      <c r="L35">
        <v>25.49</v>
      </c>
      <c r="M35" s="134">
        <f t="shared" si="2"/>
        <v>8.1918505942275122E-2</v>
      </c>
      <c r="N35" s="135"/>
      <c r="O35" s="135"/>
      <c r="P35" s="137">
        <v>45648</v>
      </c>
      <c r="Q35" s="136">
        <v>5970.84</v>
      </c>
      <c r="R35" s="134">
        <f t="shared" si="3"/>
        <v>6.7427097296339777E-3</v>
      </c>
    </row>
    <row r="36" spans="2:18">
      <c r="B36" s="137">
        <v>45641</v>
      </c>
      <c r="C36">
        <v>51.81</v>
      </c>
      <c r="D36" s="134">
        <f t="shared" si="0"/>
        <v>-1.370645345516841E-2</v>
      </c>
      <c r="F36" s="137">
        <v>45641</v>
      </c>
      <c r="G36">
        <v>9.8800000000000008</v>
      </c>
      <c r="H36" s="134">
        <f t="shared" si="1"/>
        <v>-4.908565928777664E-2</v>
      </c>
      <c r="K36" s="137">
        <v>45641</v>
      </c>
      <c r="L36">
        <v>23.56</v>
      </c>
      <c r="M36" s="134">
        <f t="shared" si="2"/>
        <v>6.1261261261261302E-2</v>
      </c>
      <c r="N36" s="135"/>
      <c r="O36" s="135"/>
      <c r="P36" s="137">
        <v>45641</v>
      </c>
      <c r="Q36" s="136">
        <v>5930.85</v>
      </c>
      <c r="R36" s="134">
        <f t="shared" si="3"/>
        <v>-1.9870800136834843E-2</v>
      </c>
    </row>
    <row r="37" spans="2:18">
      <c r="B37" s="137">
        <v>45634</v>
      </c>
      <c r="C37">
        <v>52.53</v>
      </c>
      <c r="D37" s="134">
        <f t="shared" si="0"/>
        <v>-1.6476315296760857E-2</v>
      </c>
      <c r="F37" s="137">
        <v>45634</v>
      </c>
      <c r="G37">
        <v>10.39</v>
      </c>
      <c r="H37" s="134">
        <f t="shared" si="1"/>
        <v>-1.1417697431018059E-2</v>
      </c>
      <c r="K37" s="137">
        <v>45634</v>
      </c>
      <c r="L37">
        <v>22.2</v>
      </c>
      <c r="M37" s="134">
        <f t="shared" si="2"/>
        <v>-5.3763440860215006E-3</v>
      </c>
      <c r="N37" s="135"/>
      <c r="O37" s="135"/>
      <c r="P37" s="137">
        <v>45634</v>
      </c>
      <c r="Q37" s="136">
        <v>6051.09</v>
      </c>
      <c r="R37" s="134">
        <f t="shared" si="3"/>
        <v>-6.4332123206360947E-3</v>
      </c>
    </row>
    <row r="38" spans="2:18">
      <c r="B38" s="137">
        <v>45627</v>
      </c>
      <c r="C38">
        <v>53.41</v>
      </c>
      <c r="D38" s="134">
        <f t="shared" si="0"/>
        <v>-3.9215686274509887E-2</v>
      </c>
      <c r="F38" s="137">
        <v>45627</v>
      </c>
      <c r="G38">
        <v>10.51</v>
      </c>
      <c r="H38" s="134">
        <f t="shared" si="1"/>
        <v>-5.5705300988319939E-2</v>
      </c>
      <c r="K38" s="137">
        <v>45627</v>
      </c>
      <c r="L38">
        <v>22.32</v>
      </c>
      <c r="M38" s="134">
        <f t="shared" si="2"/>
        <v>-5.7432432432432456E-2</v>
      </c>
      <c r="N38" s="135"/>
      <c r="O38" s="135"/>
      <c r="P38" s="137">
        <v>45627</v>
      </c>
      <c r="Q38" s="136">
        <v>6090.27</v>
      </c>
      <c r="R38" s="134">
        <f t="shared" si="3"/>
        <v>9.5965439842982114E-3</v>
      </c>
    </row>
    <row r="39" spans="2:18">
      <c r="B39" s="137">
        <v>45620</v>
      </c>
      <c r="C39">
        <v>55.59</v>
      </c>
      <c r="D39" s="134">
        <f t="shared" si="0"/>
        <v>-5.0230650948231648E-2</v>
      </c>
      <c r="F39" s="137">
        <v>45620</v>
      </c>
      <c r="G39">
        <v>11.13</v>
      </c>
      <c r="H39" s="134">
        <f t="shared" si="1"/>
        <v>-4.472271914132242E-3</v>
      </c>
      <c r="K39" s="137">
        <v>45620</v>
      </c>
      <c r="L39">
        <v>23.68</v>
      </c>
      <c r="M39" s="134">
        <f t="shared" si="2"/>
        <v>6.2836624775583383E-2</v>
      </c>
      <c r="N39" s="135"/>
      <c r="O39" s="135"/>
      <c r="P39" s="137">
        <v>45620</v>
      </c>
      <c r="Q39" s="136">
        <v>6032.38</v>
      </c>
      <c r="R39" s="134">
        <f t="shared" si="3"/>
        <v>1.0560631493598871E-2</v>
      </c>
    </row>
    <row r="40" spans="2:18">
      <c r="B40" s="137">
        <v>45613</v>
      </c>
      <c r="C40">
        <v>58.53</v>
      </c>
      <c r="D40" s="134">
        <f t="shared" si="0"/>
        <v>2.6122019635343552E-2</v>
      </c>
      <c r="F40" s="137">
        <v>45613</v>
      </c>
      <c r="G40">
        <v>11.18</v>
      </c>
      <c r="H40" s="134">
        <f t="shared" si="1"/>
        <v>1.5440508628519423E-2</v>
      </c>
      <c r="K40" s="137">
        <v>45613</v>
      </c>
      <c r="L40">
        <v>22.28</v>
      </c>
      <c r="M40" s="134">
        <f t="shared" si="2"/>
        <v>-1.936619718309851E-2</v>
      </c>
      <c r="N40" s="135"/>
      <c r="O40" s="135"/>
      <c r="P40" s="137">
        <v>45613</v>
      </c>
      <c r="Q40" s="136">
        <v>5969.34</v>
      </c>
      <c r="R40" s="134">
        <f t="shared" si="3"/>
        <v>1.6815941076070429E-2</v>
      </c>
    </row>
    <row r="41" spans="2:18">
      <c r="B41" s="137">
        <v>45606</v>
      </c>
      <c r="C41">
        <v>57.04</v>
      </c>
      <c r="D41" s="134">
        <f t="shared" si="0"/>
        <v>2.6268441885570315E-2</v>
      </c>
      <c r="F41" s="137">
        <v>45606</v>
      </c>
      <c r="G41">
        <v>11.01</v>
      </c>
      <c r="H41" s="134">
        <f t="shared" si="1"/>
        <v>3.6463081130355679E-3</v>
      </c>
      <c r="K41" s="137">
        <v>45606</v>
      </c>
      <c r="L41">
        <v>22.72</v>
      </c>
      <c r="M41" s="134">
        <f t="shared" si="2"/>
        <v>-3.9323467230443998E-2</v>
      </c>
      <c r="N41" s="135"/>
      <c r="O41" s="135"/>
      <c r="P41" s="137">
        <v>45606</v>
      </c>
      <c r="Q41" s="136">
        <v>5870.62</v>
      </c>
      <c r="R41" s="134">
        <f t="shared" si="3"/>
        <v>-2.0835487712532963E-2</v>
      </c>
    </row>
    <row r="42" spans="2:18">
      <c r="B42" s="137">
        <v>45599</v>
      </c>
      <c r="C42">
        <v>55.58</v>
      </c>
      <c r="D42" s="134">
        <f t="shared" si="0"/>
        <v>9.0659340659340559E-2</v>
      </c>
      <c r="F42" s="137">
        <v>45599</v>
      </c>
      <c r="G42">
        <v>10.97</v>
      </c>
      <c r="H42" s="134">
        <f t="shared" si="1"/>
        <v>7.3385518590997956E-2</v>
      </c>
      <c r="K42" s="137">
        <v>45599</v>
      </c>
      <c r="L42">
        <v>23.65</v>
      </c>
      <c r="M42" s="134">
        <f t="shared" si="2"/>
        <v>-5.6264964086193192E-2</v>
      </c>
      <c r="N42" s="135"/>
      <c r="O42" s="135"/>
      <c r="P42" s="137">
        <v>45599</v>
      </c>
      <c r="Q42" s="136">
        <v>5995.54</v>
      </c>
      <c r="R42" s="134">
        <f t="shared" si="3"/>
        <v>4.6561234464460144E-2</v>
      </c>
    </row>
    <row r="43" spans="2:18">
      <c r="B43" s="137">
        <v>45592</v>
      </c>
      <c r="C43">
        <v>50.96</v>
      </c>
      <c r="D43" s="134">
        <f t="shared" si="0"/>
        <v>-2.1317457269060869E-2</v>
      </c>
      <c r="F43" s="137">
        <v>45592</v>
      </c>
      <c r="G43">
        <v>10.220000000000001</v>
      </c>
      <c r="H43" s="134">
        <f t="shared" si="1"/>
        <v>-7.6784101174345087E-2</v>
      </c>
      <c r="K43" s="137">
        <v>45592</v>
      </c>
      <c r="L43">
        <v>25.06</v>
      </c>
      <c r="M43" s="134">
        <f t="shared" si="2"/>
        <v>-0.12955887460923932</v>
      </c>
      <c r="N43" s="135"/>
      <c r="O43" s="135"/>
      <c r="P43" s="137">
        <v>45592</v>
      </c>
      <c r="Q43" s="136">
        <v>5728.8</v>
      </c>
      <c r="R43" s="134">
        <f t="shared" si="3"/>
        <v>-1.3656742629284513E-2</v>
      </c>
    </row>
    <row r="44" spans="2:18">
      <c r="B44" s="137">
        <v>45585</v>
      </c>
      <c r="C44">
        <v>52.07</v>
      </c>
      <c r="D44" s="134">
        <f t="shared" si="0"/>
        <v>5.8763725091500518E-2</v>
      </c>
      <c r="F44" s="137">
        <v>45585</v>
      </c>
      <c r="G44">
        <v>11.07</v>
      </c>
      <c r="H44" s="134">
        <f t="shared" si="1"/>
        <v>-2.7027027027026751E-3</v>
      </c>
      <c r="K44" s="137">
        <v>45585</v>
      </c>
      <c r="L44">
        <v>28.79</v>
      </c>
      <c r="M44" s="134">
        <f t="shared" si="2"/>
        <v>0.1401980198019801</v>
      </c>
      <c r="N44" s="135"/>
      <c r="O44" s="135"/>
      <c r="P44" s="137">
        <v>45585</v>
      </c>
      <c r="Q44" s="136">
        <v>5808.12</v>
      </c>
      <c r="R44" s="134">
        <f t="shared" si="3"/>
        <v>-9.6424862780003506E-3</v>
      </c>
    </row>
    <row r="45" spans="2:18">
      <c r="B45" s="137">
        <v>45578</v>
      </c>
      <c r="C45">
        <v>49.18</v>
      </c>
      <c r="D45" s="134">
        <f t="shared" si="0"/>
        <v>2.7365782327136046E-2</v>
      </c>
      <c r="F45" s="137">
        <v>45578</v>
      </c>
      <c r="G45">
        <v>11.1</v>
      </c>
      <c r="H45" s="134">
        <f t="shared" si="1"/>
        <v>3.5447761194029814E-2</v>
      </c>
      <c r="K45" s="137">
        <v>45578</v>
      </c>
      <c r="L45">
        <v>25.25</v>
      </c>
      <c r="M45" s="134">
        <f t="shared" si="2"/>
        <v>-6.6543438077634076E-2</v>
      </c>
      <c r="N45" s="135"/>
      <c r="O45" s="135"/>
      <c r="P45" s="137">
        <v>45578</v>
      </c>
      <c r="Q45" s="136">
        <v>5864.67</v>
      </c>
      <c r="R45" s="134">
        <f t="shared" si="3"/>
        <v>8.5364993817744761E-3</v>
      </c>
    </row>
    <row r="46" spans="2:18">
      <c r="B46" s="137">
        <v>45571</v>
      </c>
      <c r="C46">
        <v>47.87</v>
      </c>
      <c r="D46" s="134">
        <f t="shared" si="0"/>
        <v>4.7942206654991271E-2</v>
      </c>
      <c r="F46" s="137">
        <v>45571</v>
      </c>
      <c r="G46">
        <v>10.72</v>
      </c>
      <c r="H46" s="134">
        <f t="shared" si="1"/>
        <v>1.4191106906338735E-2</v>
      </c>
      <c r="K46" s="137">
        <v>45571</v>
      </c>
      <c r="L46">
        <v>27.05</v>
      </c>
      <c r="M46" s="134">
        <f t="shared" si="2"/>
        <v>-7.6161202185792365E-2</v>
      </c>
      <c r="N46" s="135"/>
      <c r="O46" s="135"/>
      <c r="P46" s="137">
        <v>45571</v>
      </c>
      <c r="Q46" s="136">
        <v>5815.03</v>
      </c>
      <c r="R46" s="134">
        <f t="shared" si="3"/>
        <v>1.1121408711770142E-2</v>
      </c>
    </row>
    <row r="47" spans="2:18">
      <c r="B47" s="137">
        <v>45564</v>
      </c>
      <c r="C47">
        <v>45.68</v>
      </c>
      <c r="D47" s="134">
        <f t="shared" si="0"/>
        <v>-1.7211703958691871E-2</v>
      </c>
      <c r="F47" s="137">
        <v>45564</v>
      </c>
      <c r="G47">
        <v>10.57</v>
      </c>
      <c r="H47" s="134">
        <f t="shared" si="1"/>
        <v>-1.9480519480519431E-2</v>
      </c>
      <c r="K47" s="137">
        <v>45564</v>
      </c>
      <c r="L47">
        <v>29.28</v>
      </c>
      <c r="M47" s="134">
        <f t="shared" si="2"/>
        <v>0.13576415826221866</v>
      </c>
      <c r="N47" s="135"/>
      <c r="O47" s="135"/>
      <c r="P47" s="137">
        <v>45564</v>
      </c>
      <c r="Q47" s="136">
        <v>5751.07</v>
      </c>
      <c r="R47" s="134">
        <f t="shared" si="3"/>
        <v>2.2481034894399343E-3</v>
      </c>
    </row>
    <row r="48" spans="2:18">
      <c r="B48" s="137">
        <v>45557</v>
      </c>
      <c r="C48">
        <v>46.48</v>
      </c>
      <c r="D48" s="134">
        <f t="shared" si="0"/>
        <v>-4.9099836333879043E-2</v>
      </c>
      <c r="F48" s="137">
        <v>45557</v>
      </c>
      <c r="G48">
        <v>10.78</v>
      </c>
      <c r="H48" s="134">
        <f t="shared" si="1"/>
        <v>-9.1911764705883137E-3</v>
      </c>
      <c r="K48" s="137">
        <v>45557</v>
      </c>
      <c r="L48">
        <v>25.78</v>
      </c>
      <c r="M48" s="134">
        <f t="shared" si="2"/>
        <v>0.19684308263695471</v>
      </c>
      <c r="N48" s="135"/>
      <c r="O48" s="135"/>
      <c r="P48" s="137">
        <v>45557</v>
      </c>
      <c r="Q48" s="136">
        <v>5738.17</v>
      </c>
      <c r="R48" s="134">
        <f t="shared" si="3"/>
        <v>6.2463283969451666E-3</v>
      </c>
    </row>
    <row r="49" spans="2:18">
      <c r="B49" s="137">
        <v>45550</v>
      </c>
      <c r="C49">
        <v>48.88</v>
      </c>
      <c r="D49" s="134">
        <f t="shared" si="0"/>
        <v>5.5723542116630886E-2</v>
      </c>
      <c r="F49" s="137">
        <v>45550</v>
      </c>
      <c r="G49">
        <v>10.88</v>
      </c>
      <c r="H49" s="134">
        <f t="shared" si="1"/>
        <v>1.7773620205799867E-2</v>
      </c>
      <c r="K49" s="137">
        <v>45550</v>
      </c>
      <c r="L49">
        <v>21.54</v>
      </c>
      <c r="M49" s="134">
        <f t="shared" si="2"/>
        <v>0.12656903765690375</v>
      </c>
      <c r="N49" s="135"/>
      <c r="O49" s="135"/>
      <c r="P49" s="137">
        <v>45550</v>
      </c>
      <c r="Q49" s="136">
        <v>5702.55</v>
      </c>
      <c r="R49" s="134">
        <f t="shared" si="3"/>
        <v>1.3602866680175296E-2</v>
      </c>
    </row>
    <row r="50" spans="2:18">
      <c r="B50" s="137">
        <v>45543</v>
      </c>
      <c r="C50">
        <v>46.3</v>
      </c>
      <c r="D50" s="134">
        <f t="shared" si="0"/>
        <v>-1.7819261773440842E-2</v>
      </c>
      <c r="F50" s="137">
        <v>45543</v>
      </c>
      <c r="G50">
        <v>10.69</v>
      </c>
      <c r="H50" s="134">
        <f t="shared" si="1"/>
        <v>1.0396975425330801E-2</v>
      </c>
      <c r="K50" s="137">
        <v>45543</v>
      </c>
      <c r="L50">
        <v>19.12</v>
      </c>
      <c r="M50" s="134">
        <f t="shared" si="2"/>
        <v>4.4238121245221418E-2</v>
      </c>
      <c r="N50" s="135"/>
      <c r="O50" s="135"/>
      <c r="P50" s="137">
        <v>45543</v>
      </c>
      <c r="Q50" s="136">
        <v>5626.02</v>
      </c>
      <c r="R50" s="134">
        <f t="shared" si="3"/>
        <v>4.0233561742616164E-2</v>
      </c>
    </row>
    <row r="51" spans="2:18">
      <c r="B51" s="137">
        <v>45536</v>
      </c>
      <c r="C51">
        <v>47.14</v>
      </c>
      <c r="D51" s="134">
        <f t="shared" si="0"/>
        <v>-5.3033346725592567E-2</v>
      </c>
      <c r="F51" s="137">
        <v>45536</v>
      </c>
      <c r="G51">
        <v>10.58</v>
      </c>
      <c r="H51" s="134">
        <f t="shared" si="1"/>
        <v>-5.4512957998212652E-2</v>
      </c>
      <c r="K51" s="137">
        <v>45536</v>
      </c>
      <c r="L51">
        <v>18.309999999999999</v>
      </c>
      <c r="M51" s="134">
        <f t="shared" si="2"/>
        <v>-5.9095580678314552E-2</v>
      </c>
      <c r="N51" s="135"/>
      <c r="O51" s="135"/>
      <c r="P51" s="137">
        <v>45536</v>
      </c>
      <c r="Q51" s="136">
        <v>5408.42</v>
      </c>
      <c r="R51" s="134">
        <f t="shared" si="3"/>
        <v>-4.2486367820975812E-2</v>
      </c>
    </row>
    <row r="52" spans="2:18">
      <c r="B52" s="137">
        <v>45529</v>
      </c>
      <c r="C52">
        <v>49.78</v>
      </c>
      <c r="D52" s="134">
        <f t="shared" si="0"/>
        <v>2.4912497426395008E-2</v>
      </c>
      <c r="F52" s="137">
        <v>45529</v>
      </c>
      <c r="G52">
        <v>11.19</v>
      </c>
      <c r="H52" s="134">
        <f t="shared" si="1"/>
        <v>-7.098491570541321E-3</v>
      </c>
      <c r="K52" s="137">
        <v>45529</v>
      </c>
      <c r="L52">
        <v>19.46</v>
      </c>
      <c r="M52" s="134">
        <f t="shared" si="2"/>
        <v>-8.2940622054665347E-2</v>
      </c>
      <c r="N52" s="135"/>
      <c r="O52" s="135"/>
      <c r="P52" s="137">
        <v>45529</v>
      </c>
      <c r="Q52" s="136">
        <v>5648.4</v>
      </c>
      <c r="R52" s="134">
        <f t="shared" si="3"/>
        <v>2.4473743524395797E-3</v>
      </c>
    </row>
    <row r="53" spans="2:18">
      <c r="B53" s="137">
        <v>45522</v>
      </c>
      <c r="C53">
        <v>48.57</v>
      </c>
      <c r="D53" s="134">
        <f t="shared" si="0"/>
        <v>7.1712268314209959E-2</v>
      </c>
      <c r="F53" s="137">
        <v>45522</v>
      </c>
      <c r="G53">
        <v>11.27</v>
      </c>
      <c r="H53" s="134">
        <f t="shared" si="1"/>
        <v>7.231208372978104E-2</v>
      </c>
      <c r="K53" s="137">
        <v>45522</v>
      </c>
      <c r="L53">
        <v>21.22</v>
      </c>
      <c r="M53" s="134">
        <f t="shared" si="2"/>
        <v>3.3609352167559559E-2</v>
      </c>
      <c r="N53" s="135"/>
      <c r="O53" s="135"/>
      <c r="P53" s="137">
        <v>45522</v>
      </c>
      <c r="Q53" s="136">
        <v>5634.61</v>
      </c>
      <c r="R53" s="134">
        <f t="shared" si="3"/>
        <v>1.4468200027006217E-2</v>
      </c>
    </row>
    <row r="54" spans="2:18">
      <c r="B54" s="137">
        <v>45515</v>
      </c>
      <c r="C54">
        <v>45.32</v>
      </c>
      <c r="D54" s="134">
        <f t="shared" si="0"/>
        <v>4.2318307267709354E-2</v>
      </c>
      <c r="F54" s="137">
        <v>45515</v>
      </c>
      <c r="G54">
        <v>10.51</v>
      </c>
      <c r="H54" s="134">
        <f t="shared" si="1"/>
        <v>4.059405940594063E-2</v>
      </c>
      <c r="K54" s="137">
        <v>45515</v>
      </c>
      <c r="L54">
        <v>20.53</v>
      </c>
      <c r="M54" s="134">
        <f t="shared" si="2"/>
        <v>3.2176973353444049E-2</v>
      </c>
      <c r="N54" s="135"/>
      <c r="O54" s="135"/>
      <c r="P54" s="137">
        <v>45515</v>
      </c>
      <c r="Q54" s="136">
        <v>5554.25</v>
      </c>
      <c r="R54" s="134">
        <f t="shared" si="3"/>
        <v>3.9312071494865375E-2</v>
      </c>
    </row>
    <row r="55" spans="2:18">
      <c r="B55" s="137">
        <v>45508</v>
      </c>
      <c r="C55">
        <v>43.48</v>
      </c>
      <c r="D55" s="134">
        <f t="shared" si="0"/>
        <v>5.6108817099829844E-2</v>
      </c>
      <c r="F55" s="137">
        <v>45508</v>
      </c>
      <c r="G55">
        <v>10.1</v>
      </c>
      <c r="H55" s="134">
        <f t="shared" si="1"/>
        <v>6.9790628115653508E-3</v>
      </c>
      <c r="K55" s="137">
        <v>45508</v>
      </c>
      <c r="L55">
        <v>19.89</v>
      </c>
      <c r="M55" s="134">
        <f t="shared" si="2"/>
        <v>3.5937500000000178E-2</v>
      </c>
      <c r="N55" s="135"/>
      <c r="O55" s="135"/>
      <c r="P55" s="137">
        <v>45508</v>
      </c>
      <c r="Q55" s="136">
        <v>5344.16</v>
      </c>
      <c r="R55" s="134">
        <f t="shared" si="3"/>
        <v>-4.4888676083321144E-4</v>
      </c>
    </row>
    <row r="56" spans="2:18">
      <c r="B56" s="137">
        <v>45501</v>
      </c>
      <c r="C56">
        <v>41.17</v>
      </c>
      <c r="D56" s="134">
        <f t="shared" si="0"/>
        <v>-6.6863100634632744E-2</v>
      </c>
      <c r="F56" s="137">
        <v>45501</v>
      </c>
      <c r="G56">
        <v>10.029999999999999</v>
      </c>
      <c r="H56" s="134">
        <f t="shared" si="1"/>
        <v>-0.10366398570151925</v>
      </c>
      <c r="K56" s="137">
        <v>45501</v>
      </c>
      <c r="L56">
        <v>19.2</v>
      </c>
      <c r="M56" s="134">
        <f t="shared" si="2"/>
        <v>3.1347962382444194E-3</v>
      </c>
      <c r="N56" s="135"/>
      <c r="O56" s="135"/>
      <c r="P56" s="137">
        <v>45501</v>
      </c>
      <c r="Q56" s="136">
        <v>5346.56</v>
      </c>
      <c r="R56" s="134">
        <f t="shared" si="3"/>
        <v>-2.0615119708376817E-2</v>
      </c>
    </row>
    <row r="57" spans="2:18">
      <c r="B57" s="137">
        <v>45494</v>
      </c>
      <c r="C57">
        <v>44.12</v>
      </c>
      <c r="D57" s="134">
        <f t="shared" si="0"/>
        <v>-8.654244306418224E-2</v>
      </c>
      <c r="F57" s="137">
        <v>45494</v>
      </c>
      <c r="G57">
        <v>11.19</v>
      </c>
      <c r="H57" s="134">
        <f t="shared" si="1"/>
        <v>-0.19957081545064381</v>
      </c>
      <c r="K57" s="137">
        <v>45494</v>
      </c>
      <c r="L57">
        <v>19.14</v>
      </c>
      <c r="M57" s="134">
        <f t="shared" si="2"/>
        <v>-2.5458248472505107E-2</v>
      </c>
      <c r="N57" s="135"/>
      <c r="O57" s="135"/>
      <c r="P57" s="137">
        <v>45494</v>
      </c>
      <c r="Q57" s="136">
        <v>5459.1</v>
      </c>
      <c r="R57" s="134">
        <f t="shared" si="3"/>
        <v>-8.3378746594005015E-3</v>
      </c>
    </row>
    <row r="58" spans="2:18">
      <c r="B58" s="137">
        <v>45487</v>
      </c>
      <c r="C58">
        <v>48.3</v>
      </c>
      <c r="D58" s="134">
        <f t="shared" si="0"/>
        <v>-1.4486839420526421E-2</v>
      </c>
      <c r="F58" s="137">
        <v>45487</v>
      </c>
      <c r="G58">
        <v>13.98</v>
      </c>
      <c r="H58" s="134">
        <f t="shared" si="1"/>
        <v>-3.5637918745544672E-3</v>
      </c>
      <c r="K58" s="137">
        <v>45487</v>
      </c>
      <c r="L58">
        <v>19.64</v>
      </c>
      <c r="M58" s="134">
        <f t="shared" si="2"/>
        <v>-7.7067669172932396E-2</v>
      </c>
      <c r="N58" s="135"/>
      <c r="O58" s="135"/>
      <c r="P58" s="137">
        <v>45487</v>
      </c>
      <c r="Q58" s="136">
        <v>5505</v>
      </c>
      <c r="R58" s="134">
        <f t="shared" si="3"/>
        <v>-1.965149100234187E-2</v>
      </c>
    </row>
    <row r="59" spans="2:18">
      <c r="B59" s="137">
        <v>45480</v>
      </c>
      <c r="C59">
        <v>49.01</v>
      </c>
      <c r="D59" s="134">
        <f t="shared" si="0"/>
        <v>5.3525365434221817E-2</v>
      </c>
      <c r="F59" s="137">
        <v>45480</v>
      </c>
      <c r="G59">
        <v>14.03</v>
      </c>
      <c r="H59" s="134">
        <f t="shared" si="1"/>
        <v>9.2679127725856736E-2</v>
      </c>
      <c r="K59" s="137">
        <v>45480</v>
      </c>
      <c r="L59">
        <v>21.28</v>
      </c>
      <c r="M59" s="134">
        <f t="shared" si="2"/>
        <v>4.0078201368523914E-2</v>
      </c>
      <c r="N59" s="135"/>
      <c r="O59" s="135"/>
      <c r="P59" s="137">
        <v>45480</v>
      </c>
      <c r="Q59" s="136">
        <v>5615.35</v>
      </c>
      <c r="R59" s="134">
        <f t="shared" si="3"/>
        <v>8.6506837381157276E-3</v>
      </c>
    </row>
    <row r="60" spans="2:18">
      <c r="B60" s="137">
        <v>45473</v>
      </c>
      <c r="C60">
        <v>46.52</v>
      </c>
      <c r="D60" s="134">
        <f t="shared" si="0"/>
        <v>1.2914334911753311E-3</v>
      </c>
      <c r="F60" s="137">
        <v>45473</v>
      </c>
      <c r="G60">
        <v>12.84</v>
      </c>
      <c r="H60" s="134">
        <f t="shared" si="1"/>
        <v>2.3923444976076569E-2</v>
      </c>
      <c r="K60" s="137">
        <v>45473</v>
      </c>
      <c r="L60">
        <v>20.46</v>
      </c>
      <c r="M60" s="134">
        <f t="shared" si="2"/>
        <v>0.144295302013423</v>
      </c>
      <c r="N60" s="135"/>
      <c r="O60" s="135"/>
      <c r="P60" s="137">
        <v>45473</v>
      </c>
      <c r="Q60" s="136">
        <v>5567.19</v>
      </c>
      <c r="R60" s="134">
        <f t="shared" si="3"/>
        <v>1.9542238045006988E-2</v>
      </c>
    </row>
    <row r="61" spans="2:18">
      <c r="B61" s="137">
        <v>45466</v>
      </c>
      <c r="C61">
        <v>46.46</v>
      </c>
      <c r="D61" s="134">
        <f t="shared" si="0"/>
        <v>-2.6404023470243065E-2</v>
      </c>
      <c r="F61" s="137">
        <v>45466</v>
      </c>
      <c r="G61">
        <v>12.54</v>
      </c>
      <c r="H61" s="134">
        <f t="shared" si="1"/>
        <v>5.912162162162149E-2</v>
      </c>
      <c r="K61" s="137">
        <v>45466</v>
      </c>
      <c r="L61">
        <v>17.88</v>
      </c>
      <c r="M61" s="134">
        <f t="shared" si="2"/>
        <v>5.5959709009512082E-4</v>
      </c>
      <c r="N61" s="135"/>
      <c r="O61" s="135"/>
      <c r="P61" s="137">
        <v>45466</v>
      </c>
      <c r="Q61" s="136">
        <v>5460.48</v>
      </c>
      <c r="R61" s="134">
        <f t="shared" si="3"/>
        <v>-7.5760071148589514E-4</v>
      </c>
    </row>
    <row r="62" spans="2:18">
      <c r="B62" s="137">
        <v>45459</v>
      </c>
      <c r="C62">
        <v>47.72</v>
      </c>
      <c r="D62" s="134">
        <f t="shared" si="0"/>
        <v>2.0312165918323632E-2</v>
      </c>
      <c r="F62" s="137">
        <v>45459</v>
      </c>
      <c r="G62">
        <v>11.84</v>
      </c>
      <c r="H62" s="134">
        <f t="shared" si="1"/>
        <v>1.1101622544833489E-2</v>
      </c>
      <c r="K62" s="137">
        <v>45459</v>
      </c>
      <c r="L62">
        <v>17.87</v>
      </c>
      <c r="M62" s="134">
        <f t="shared" si="2"/>
        <v>-4.9468085106383008E-2</v>
      </c>
      <c r="N62" s="135"/>
      <c r="O62" s="135"/>
      <c r="P62" s="137">
        <v>45459</v>
      </c>
      <c r="Q62" s="136">
        <v>5464.62</v>
      </c>
      <c r="R62" s="134">
        <f t="shared" si="3"/>
        <v>6.079240002945685E-3</v>
      </c>
    </row>
    <row r="63" spans="2:18">
      <c r="B63" s="137">
        <v>45452</v>
      </c>
      <c r="C63">
        <v>46.77</v>
      </c>
      <c r="D63" s="134">
        <f t="shared" si="0"/>
        <v>2.2965879265091971E-2</v>
      </c>
      <c r="F63" s="137">
        <v>45452</v>
      </c>
      <c r="G63">
        <v>11.71</v>
      </c>
      <c r="H63" s="134">
        <f t="shared" si="1"/>
        <v>-3.6213991769547316E-2</v>
      </c>
      <c r="K63" s="137">
        <v>45452</v>
      </c>
      <c r="L63">
        <v>18.8</v>
      </c>
      <c r="M63" s="134">
        <f t="shared" si="2"/>
        <v>-6.3745019920318557E-2</v>
      </c>
      <c r="N63" s="135"/>
      <c r="O63" s="135"/>
      <c r="P63" s="137">
        <v>45452</v>
      </c>
      <c r="Q63" s="136">
        <v>5431.6</v>
      </c>
      <c r="R63" s="134">
        <f t="shared" si="3"/>
        <v>1.5823856038631234E-2</v>
      </c>
    </row>
    <row r="64" spans="2:18">
      <c r="B64" s="137">
        <v>45445</v>
      </c>
      <c r="C64">
        <v>45.72</v>
      </c>
      <c r="D64" s="134">
        <f t="shared" si="0"/>
        <v>1.6225827961769301E-2</v>
      </c>
      <c r="F64" s="137">
        <v>45445</v>
      </c>
      <c r="G64">
        <v>12.15</v>
      </c>
      <c r="H64" s="134">
        <f t="shared" si="1"/>
        <v>1.6488046166529546E-3</v>
      </c>
      <c r="K64" s="137">
        <v>45445</v>
      </c>
      <c r="L64">
        <v>20.079999999999998</v>
      </c>
      <c r="M64" s="134">
        <f t="shared" si="2"/>
        <v>-8.3950617283951035E-3</v>
      </c>
      <c r="N64" s="135"/>
      <c r="O64" s="135"/>
      <c r="P64" s="137">
        <v>45445</v>
      </c>
      <c r="Q64" s="136">
        <v>5346.99</v>
      </c>
      <c r="R64" s="134">
        <f t="shared" si="3"/>
        <v>1.3165299544671605E-2</v>
      </c>
    </row>
    <row r="65" spans="2:18">
      <c r="B65" s="137">
        <v>45438</v>
      </c>
      <c r="C65">
        <v>44.99</v>
      </c>
      <c r="D65" s="134">
        <f t="shared" si="0"/>
        <v>1.9950124688279391E-2</v>
      </c>
      <c r="F65" s="137">
        <v>45438</v>
      </c>
      <c r="G65">
        <v>12.13</v>
      </c>
      <c r="H65" s="134">
        <f t="shared" si="1"/>
        <v>-2.4671052631578538E-3</v>
      </c>
      <c r="K65" s="137">
        <v>45438</v>
      </c>
      <c r="L65">
        <v>20.25</v>
      </c>
      <c r="M65" s="134">
        <f t="shared" si="2"/>
        <v>-2.9542097488921559E-3</v>
      </c>
      <c r="N65" s="135"/>
      <c r="O65" s="135"/>
      <c r="P65" s="137">
        <v>45438</v>
      </c>
      <c r="Q65" s="136">
        <v>5277.51</v>
      </c>
      <c r="R65" s="134">
        <f t="shared" si="3"/>
        <v>-5.1293941998823422E-3</v>
      </c>
    </row>
    <row r="66" spans="2:18">
      <c r="B66" s="137">
        <v>45431</v>
      </c>
      <c r="C66">
        <v>44.11</v>
      </c>
      <c r="D66" s="134">
        <f t="shared" si="0"/>
        <v>-3.6057692307692291E-2</v>
      </c>
      <c r="F66" s="137">
        <v>45431</v>
      </c>
      <c r="G66">
        <v>12.16</v>
      </c>
      <c r="H66" s="134">
        <f t="shared" si="1"/>
        <v>-9.7719869706839324E-3</v>
      </c>
      <c r="K66" s="137">
        <v>45431</v>
      </c>
      <c r="L66">
        <v>20.309999999999999</v>
      </c>
      <c r="M66" s="134">
        <f t="shared" si="2"/>
        <v>-0.1840096424266775</v>
      </c>
      <c r="N66" s="135"/>
      <c r="O66" s="135"/>
      <c r="P66" s="137">
        <v>45431</v>
      </c>
      <c r="Q66" s="136">
        <v>5304.72</v>
      </c>
      <c r="R66" s="134">
        <f t="shared" si="3"/>
        <v>2.7341621301579799E-4</v>
      </c>
    </row>
    <row r="67" spans="2:18">
      <c r="B67" s="137">
        <v>45424</v>
      </c>
      <c r="C67">
        <v>45.76</v>
      </c>
      <c r="D67" s="134">
        <f t="shared" si="0"/>
        <v>1.2165450121654375E-2</v>
      </c>
      <c r="F67" s="137">
        <v>45424</v>
      </c>
      <c r="G67">
        <v>12.28</v>
      </c>
      <c r="H67" s="134">
        <f t="shared" si="1"/>
        <v>2.4186822351959902E-2</v>
      </c>
      <c r="K67" s="137">
        <v>45424</v>
      </c>
      <c r="L67">
        <v>24.89</v>
      </c>
      <c r="M67" s="134">
        <f t="shared" si="2"/>
        <v>-6.7440989134507356E-2</v>
      </c>
      <c r="N67" s="135"/>
      <c r="O67" s="135"/>
      <c r="P67" s="137">
        <v>45424</v>
      </c>
      <c r="Q67" s="136">
        <v>5303.27</v>
      </c>
      <c r="R67" s="134">
        <f t="shared" si="3"/>
        <v>1.5430775004403818E-2</v>
      </c>
    </row>
    <row r="68" spans="2:18">
      <c r="B68" s="137">
        <v>45417</v>
      </c>
      <c r="C68">
        <v>45.21</v>
      </c>
      <c r="D68" s="134">
        <f t="shared" si="0"/>
        <v>7.8020508247882425E-3</v>
      </c>
      <c r="F68" s="137">
        <v>45417</v>
      </c>
      <c r="G68">
        <v>11.99</v>
      </c>
      <c r="H68" s="134">
        <f t="shared" si="1"/>
        <v>-3.5398230088495519E-2</v>
      </c>
      <c r="K68" s="137">
        <v>45417</v>
      </c>
      <c r="L68">
        <v>26.69</v>
      </c>
      <c r="M68" s="134">
        <f t="shared" si="2"/>
        <v>-4.6785714285714208E-2</v>
      </c>
      <c r="N68" s="135"/>
      <c r="O68" s="135"/>
      <c r="P68" s="137">
        <v>45417</v>
      </c>
      <c r="Q68" s="136">
        <v>5222.68</v>
      </c>
      <c r="R68" s="134">
        <f t="shared" si="3"/>
        <v>1.8505047983634393E-2</v>
      </c>
    </row>
    <row r="69" spans="2:18">
      <c r="B69" s="137">
        <v>45410</v>
      </c>
      <c r="C69">
        <v>44.86</v>
      </c>
      <c r="D69" s="134">
        <f t="shared" si="0"/>
        <v>-2.1378708551483494E-2</v>
      </c>
      <c r="F69" s="137">
        <v>45410</v>
      </c>
      <c r="G69">
        <v>12.43</v>
      </c>
      <c r="H69" s="134">
        <f t="shared" si="1"/>
        <v>-2.8146989835809211E-2</v>
      </c>
      <c r="K69" s="137">
        <v>45410</v>
      </c>
      <c r="L69">
        <v>28</v>
      </c>
      <c r="M69" s="134">
        <f t="shared" si="2"/>
        <v>0.1182108626198084</v>
      </c>
      <c r="N69" s="135"/>
      <c r="O69" s="135"/>
      <c r="P69" s="137">
        <v>45410</v>
      </c>
      <c r="Q69" s="136">
        <v>5127.79</v>
      </c>
      <c r="R69" s="134">
        <f t="shared" si="3"/>
        <v>5.4569055443571823E-3</v>
      </c>
    </row>
    <row r="70" spans="2:18">
      <c r="B70" s="137">
        <v>45403</v>
      </c>
      <c r="C70">
        <v>45.84</v>
      </c>
      <c r="D70" s="134">
        <f t="shared" si="0"/>
        <v>8.1897569034694584E-2</v>
      </c>
      <c r="F70" s="137">
        <v>45403</v>
      </c>
      <c r="G70">
        <v>12.79</v>
      </c>
      <c r="H70" s="134">
        <f t="shared" si="1"/>
        <v>5.354200988467861E-2</v>
      </c>
      <c r="K70" s="137">
        <v>45403</v>
      </c>
      <c r="L70">
        <v>25.04</v>
      </c>
      <c r="M70" s="134">
        <f t="shared" si="2"/>
        <v>-5.0796057619408641E-2</v>
      </c>
      <c r="N70" s="135"/>
      <c r="O70" s="135"/>
      <c r="P70" s="137">
        <v>45403</v>
      </c>
      <c r="Q70" s="136">
        <v>5099.96</v>
      </c>
      <c r="R70" s="134">
        <f t="shared" si="3"/>
        <v>2.6721130287907124E-2</v>
      </c>
    </row>
    <row r="71" spans="2:18">
      <c r="B71" s="137">
        <v>45396</v>
      </c>
      <c r="C71">
        <v>42.37</v>
      </c>
      <c r="D71" s="134">
        <f t="shared" si="0"/>
        <v>-1.6480965645311096E-2</v>
      </c>
      <c r="F71" s="137">
        <v>45396</v>
      </c>
      <c r="G71">
        <v>12.14</v>
      </c>
      <c r="H71" s="134">
        <f t="shared" si="1"/>
        <v>-3.727200634417116E-2</v>
      </c>
      <c r="K71" s="137">
        <v>45396</v>
      </c>
      <c r="L71">
        <v>26.38</v>
      </c>
      <c r="M71" s="134">
        <f t="shared" si="2"/>
        <v>-0.1024157876828854</v>
      </c>
      <c r="N71" s="135"/>
      <c r="O71" s="135"/>
      <c r="P71" s="137">
        <v>45396</v>
      </c>
      <c r="Q71" s="136">
        <v>4967.2299999999996</v>
      </c>
      <c r="R71" s="134">
        <f t="shared" si="3"/>
        <v>-3.0483603693633787E-2</v>
      </c>
    </row>
    <row r="72" spans="2:18">
      <c r="B72" s="137">
        <v>45389</v>
      </c>
      <c r="C72">
        <v>43.08</v>
      </c>
      <c r="D72" s="134">
        <f t="shared" si="0"/>
        <v>-2.6000452181777045E-2</v>
      </c>
      <c r="F72" s="137">
        <v>45389</v>
      </c>
      <c r="G72">
        <v>12.61</v>
      </c>
      <c r="H72" s="134">
        <f t="shared" si="1"/>
        <v>-5.0451807228915624E-2</v>
      </c>
      <c r="K72" s="137">
        <v>45389</v>
      </c>
      <c r="L72">
        <v>29.39</v>
      </c>
      <c r="M72" s="134">
        <f t="shared" si="2"/>
        <v>-1.4750251424740068E-2</v>
      </c>
      <c r="N72" s="135"/>
      <c r="O72" s="135"/>
      <c r="P72" s="137">
        <v>45389</v>
      </c>
      <c r="Q72" s="136">
        <v>5123.41</v>
      </c>
      <c r="R72" s="134">
        <f t="shared" si="3"/>
        <v>-1.5550482866223292E-2</v>
      </c>
    </row>
    <row r="73" spans="2:18">
      <c r="B73" s="137">
        <v>45382</v>
      </c>
      <c r="C73">
        <v>44.23</v>
      </c>
      <c r="D73" s="134">
        <f t="shared" si="0"/>
        <v>-2.4696802646086091E-2</v>
      </c>
      <c r="F73" s="137">
        <v>45382</v>
      </c>
      <c r="G73">
        <v>13.28</v>
      </c>
      <c r="H73" s="134">
        <f t="shared" si="1"/>
        <v>0</v>
      </c>
      <c r="K73" s="137">
        <v>45382</v>
      </c>
      <c r="L73">
        <v>29.83</v>
      </c>
      <c r="M73" s="134">
        <f t="shared" si="2"/>
        <v>-1.4861294583883855E-2</v>
      </c>
      <c r="N73" s="135"/>
      <c r="O73" s="135"/>
      <c r="P73" s="137">
        <v>45382</v>
      </c>
      <c r="Q73" s="136">
        <v>5204.34</v>
      </c>
      <c r="R73" s="134">
        <f t="shared" si="3"/>
        <v>-9.5178280853007724E-3</v>
      </c>
    </row>
    <row r="74" spans="2:18">
      <c r="B74" s="137">
        <v>45375</v>
      </c>
      <c r="C74">
        <v>45.35</v>
      </c>
      <c r="D74" s="134">
        <f t="shared" si="0"/>
        <v>5.318160705991648E-2</v>
      </c>
      <c r="F74" s="137">
        <v>45375</v>
      </c>
      <c r="G74">
        <v>13.28</v>
      </c>
      <c r="H74" s="134">
        <f t="shared" si="1"/>
        <v>2.8659953524399651E-2</v>
      </c>
      <c r="K74" s="137">
        <v>45375</v>
      </c>
      <c r="L74">
        <v>30.28</v>
      </c>
      <c r="M74" s="134">
        <f t="shared" si="2"/>
        <v>-7.2131147540983598E-3</v>
      </c>
      <c r="N74" s="135"/>
      <c r="O74" s="135"/>
      <c r="P74" s="137">
        <v>45375</v>
      </c>
      <c r="Q74" s="136">
        <v>5254.35</v>
      </c>
      <c r="R74" s="134">
        <f t="shared" si="3"/>
        <v>3.8535166922040176E-3</v>
      </c>
    </row>
    <row r="75" spans="2:18">
      <c r="B75" s="137">
        <v>45368</v>
      </c>
      <c r="C75">
        <v>43.06</v>
      </c>
      <c r="D75" s="134">
        <f t="shared" si="0"/>
        <v>5.8245269107888964E-2</v>
      </c>
      <c r="F75" s="137">
        <v>45368</v>
      </c>
      <c r="G75">
        <v>12.91</v>
      </c>
      <c r="H75" s="134">
        <f t="shared" si="1"/>
        <v>7.0480928689883982E-2</v>
      </c>
      <c r="K75" s="137">
        <v>45368</v>
      </c>
      <c r="L75">
        <v>30.5</v>
      </c>
      <c r="M75" s="134">
        <f t="shared" si="2"/>
        <v>-0.19248080487159125</v>
      </c>
      <c r="N75" s="135"/>
      <c r="O75" s="135"/>
      <c r="P75" s="137">
        <v>45368</v>
      </c>
      <c r="Q75" s="136">
        <v>5234.18</v>
      </c>
      <c r="R75" s="134">
        <f t="shared" si="3"/>
        <v>2.2882145907146434E-2</v>
      </c>
    </row>
    <row r="76" spans="2:18">
      <c r="B76" s="137">
        <v>45361</v>
      </c>
      <c r="C76">
        <v>40.69</v>
      </c>
      <c r="D76" s="134">
        <f t="shared" si="0"/>
        <v>3.0126582278480862E-2</v>
      </c>
      <c r="F76" s="137">
        <v>45361</v>
      </c>
      <c r="G76">
        <v>12.06</v>
      </c>
      <c r="H76" s="134">
        <f t="shared" si="1"/>
        <v>-9.8522167487684609E-3</v>
      </c>
      <c r="K76" s="137">
        <v>45361</v>
      </c>
      <c r="L76">
        <v>37.770000000000003</v>
      </c>
      <c r="M76" s="134">
        <f t="shared" si="2"/>
        <v>3.935057787561913E-2</v>
      </c>
      <c r="N76" s="135"/>
      <c r="O76" s="135"/>
      <c r="P76" s="137">
        <v>45361</v>
      </c>
      <c r="Q76" s="136">
        <v>5117.09</v>
      </c>
      <c r="R76" s="134">
        <f t="shared" si="3"/>
        <v>-1.2881341377014577E-3</v>
      </c>
    </row>
    <row r="77" spans="2:18">
      <c r="B77" s="137">
        <v>45354</v>
      </c>
      <c r="C77">
        <v>39.5</v>
      </c>
      <c r="D77" s="134">
        <f t="shared" si="0"/>
        <v>-3.6350329348621702E-2</v>
      </c>
      <c r="F77" s="137">
        <v>45354</v>
      </c>
      <c r="G77">
        <v>12.18</v>
      </c>
      <c r="H77" s="134">
        <f t="shared" si="1"/>
        <v>-2.168674698795181E-2</v>
      </c>
      <c r="K77" s="137">
        <v>45354</v>
      </c>
      <c r="L77">
        <v>36.340000000000003</v>
      </c>
      <c r="M77" s="134">
        <f t="shared" si="2"/>
        <v>-0.16536518144235179</v>
      </c>
      <c r="N77" s="135"/>
      <c r="O77" s="135"/>
      <c r="P77" s="137">
        <v>45354</v>
      </c>
      <c r="Q77" s="136">
        <v>5123.6899999999996</v>
      </c>
      <c r="R77" s="134">
        <f t="shared" si="3"/>
        <v>-2.6065391233931479E-3</v>
      </c>
    </row>
    <row r="78" spans="2:18">
      <c r="B78" s="137">
        <v>45347</v>
      </c>
      <c r="C78">
        <v>40.99</v>
      </c>
      <c r="D78" s="134">
        <f t="shared" si="0"/>
        <v>3.4317436285642211E-2</v>
      </c>
      <c r="F78" s="137">
        <v>45347</v>
      </c>
      <c r="G78">
        <v>12.45</v>
      </c>
      <c r="H78" s="134">
        <f t="shared" si="1"/>
        <v>2.5535420098846684E-2</v>
      </c>
      <c r="K78" s="137">
        <v>45347</v>
      </c>
      <c r="L78">
        <v>43.54</v>
      </c>
      <c r="M78" s="134">
        <f t="shared" si="2"/>
        <v>0.25114942528735651</v>
      </c>
      <c r="N78" s="135"/>
      <c r="O78" s="135"/>
      <c r="P78" s="137">
        <v>45347</v>
      </c>
      <c r="Q78" s="136">
        <v>5137.08</v>
      </c>
      <c r="R78" s="134">
        <f t="shared" si="3"/>
        <v>9.4875019650997316E-3</v>
      </c>
    </row>
    <row r="79" spans="2:18">
      <c r="B79" s="137">
        <v>45340</v>
      </c>
      <c r="C79">
        <v>39.630000000000003</v>
      </c>
      <c r="D79" s="134">
        <f t="shared" si="0"/>
        <v>2.4031007751937894E-2</v>
      </c>
      <c r="F79" s="137">
        <v>45340</v>
      </c>
      <c r="G79">
        <v>12.14</v>
      </c>
      <c r="H79" s="134">
        <f t="shared" si="1"/>
        <v>-1.3008130081300862E-2</v>
      </c>
      <c r="K79" s="137">
        <v>45340</v>
      </c>
      <c r="L79">
        <v>34.799999999999997</v>
      </c>
      <c r="M79" s="134">
        <f t="shared" si="2"/>
        <v>9.9873577749683751E-2</v>
      </c>
      <c r="N79" s="135"/>
      <c r="O79" s="135"/>
      <c r="P79" s="137">
        <v>45340</v>
      </c>
      <c r="Q79" s="136">
        <v>5088.8</v>
      </c>
      <c r="R79" s="134">
        <f t="shared" si="3"/>
        <v>1.6627476990632495E-2</v>
      </c>
    </row>
    <row r="80" spans="2:18">
      <c r="B80" s="137">
        <v>45333</v>
      </c>
      <c r="C80">
        <v>38.700000000000003</v>
      </c>
      <c r="D80" s="134">
        <f t="shared" si="0"/>
        <v>3.6307053941908585E-3</v>
      </c>
      <c r="F80" s="137">
        <v>45333</v>
      </c>
      <c r="G80">
        <v>12.3</v>
      </c>
      <c r="H80" s="134">
        <f t="shared" si="1"/>
        <v>-1.5999999999999903E-2</v>
      </c>
      <c r="K80" s="137">
        <v>45333</v>
      </c>
      <c r="L80">
        <v>31.64</v>
      </c>
      <c r="M80" s="134">
        <f t="shared" si="2"/>
        <v>3.0283295343536354E-2</v>
      </c>
      <c r="N80" s="135"/>
      <c r="O80" s="135"/>
      <c r="P80" s="137">
        <v>45333</v>
      </c>
      <c r="Q80" s="136">
        <v>5005.57</v>
      </c>
      <c r="R80" s="134">
        <f t="shared" si="3"/>
        <v>-4.1857235791119551E-3</v>
      </c>
    </row>
    <row r="81" spans="2:18">
      <c r="B81" s="137">
        <v>45326</v>
      </c>
      <c r="C81">
        <v>38.56</v>
      </c>
      <c r="D81" s="134">
        <f t="shared" si="0"/>
        <v>-8.9951169365199979E-3</v>
      </c>
      <c r="F81" s="137">
        <v>45326</v>
      </c>
      <c r="G81">
        <v>12.5</v>
      </c>
      <c r="H81" s="134">
        <f t="shared" si="1"/>
        <v>4.4277360066833804E-2</v>
      </c>
      <c r="K81" s="137">
        <v>45326</v>
      </c>
      <c r="L81">
        <v>30.71</v>
      </c>
      <c r="M81" s="134">
        <f t="shared" si="2"/>
        <v>8.3627381792519495E-2</v>
      </c>
      <c r="N81" s="135"/>
      <c r="O81" s="135"/>
      <c r="P81" s="137">
        <v>45326</v>
      </c>
      <c r="Q81" s="136">
        <v>5026.6099999999997</v>
      </c>
      <c r="R81" s="134">
        <f t="shared" si="3"/>
        <v>1.3713520522888434E-2</v>
      </c>
    </row>
    <row r="82" spans="2:18">
      <c r="B82" s="137">
        <v>45319</v>
      </c>
      <c r="C82">
        <v>38.909999999999997</v>
      </c>
      <c r="D82" s="134">
        <f t="shared" si="0"/>
        <v>0.10602615122228531</v>
      </c>
      <c r="F82" s="137">
        <v>45319</v>
      </c>
      <c r="G82">
        <v>11.97</v>
      </c>
      <c r="H82" s="134">
        <f t="shared" si="1"/>
        <v>6.5894924309884306E-2</v>
      </c>
      <c r="K82" s="137">
        <v>45319</v>
      </c>
      <c r="L82">
        <v>28.34</v>
      </c>
      <c r="M82" s="134">
        <f t="shared" si="2"/>
        <v>2.6068066618392338E-2</v>
      </c>
      <c r="N82" s="135"/>
      <c r="O82" s="135"/>
      <c r="P82" s="137">
        <v>45319</v>
      </c>
      <c r="Q82" s="136">
        <v>4958.6099999999997</v>
      </c>
      <c r="R82" s="134">
        <f t="shared" si="3"/>
        <v>1.3829567549995092E-2</v>
      </c>
    </row>
    <row r="83" spans="2:18">
      <c r="B83" s="137">
        <v>45312</v>
      </c>
      <c r="C83">
        <v>35.18</v>
      </c>
      <c r="D83" s="134">
        <f t="shared" si="0"/>
        <v>-9.293156857223317E-3</v>
      </c>
      <c r="F83" s="137">
        <v>45312</v>
      </c>
      <c r="G83">
        <v>11.23</v>
      </c>
      <c r="H83" s="134">
        <f t="shared" si="1"/>
        <v>1.7210144927536364E-2</v>
      </c>
      <c r="K83" s="137">
        <v>45312</v>
      </c>
      <c r="L83">
        <v>27.62</v>
      </c>
      <c r="M83" s="134">
        <f t="shared" si="2"/>
        <v>-2.1954674220963089E-2</v>
      </c>
      <c r="N83" s="135"/>
      <c r="O83" s="135"/>
      <c r="P83" s="137">
        <v>45312</v>
      </c>
      <c r="Q83" s="136">
        <v>4890.97</v>
      </c>
      <c r="R83" s="134">
        <f t="shared" si="3"/>
        <v>1.0570662897923633E-2</v>
      </c>
    </row>
    <row r="84" spans="2:18">
      <c r="B84" s="137">
        <v>45305</v>
      </c>
      <c r="C84">
        <v>35.51</v>
      </c>
      <c r="D84" s="134">
        <f t="shared" si="0"/>
        <v>7.0901871809416761E-3</v>
      </c>
      <c r="F84" s="137">
        <v>45305</v>
      </c>
      <c r="G84">
        <v>11.04</v>
      </c>
      <c r="H84" s="134">
        <f t="shared" si="1"/>
        <v>-2.3008849557522248E-2</v>
      </c>
      <c r="K84" s="137">
        <v>45305</v>
      </c>
      <c r="L84">
        <v>28.24</v>
      </c>
      <c r="M84" s="134">
        <f t="shared" si="2"/>
        <v>-0.107740916271722</v>
      </c>
      <c r="N84" s="135"/>
      <c r="O84" s="135"/>
      <c r="P84" s="137">
        <v>45305</v>
      </c>
      <c r="Q84" s="136">
        <v>4839.8100000000004</v>
      </c>
      <c r="R84" s="134">
        <f t="shared" si="3"/>
        <v>1.1701920845849534E-2</v>
      </c>
    </row>
    <row r="85" spans="2:18">
      <c r="B85" s="137">
        <v>45298</v>
      </c>
      <c r="C85">
        <v>35.26</v>
      </c>
      <c r="D85" s="134">
        <f t="shared" si="0"/>
        <v>-2.0283412058905381E-2</v>
      </c>
      <c r="F85" s="137">
        <v>45298</v>
      </c>
      <c r="G85">
        <v>11.3</v>
      </c>
      <c r="H85" s="134">
        <f t="shared" si="1"/>
        <v>-3.2534246575342429E-2</v>
      </c>
      <c r="K85" s="137">
        <v>45298</v>
      </c>
      <c r="L85">
        <v>31.65</v>
      </c>
      <c r="M85" s="134">
        <f t="shared" si="2"/>
        <v>-7.3477751756440224E-2</v>
      </c>
      <c r="N85" s="135"/>
      <c r="O85" s="135"/>
      <c r="P85" s="137">
        <v>45298</v>
      </c>
      <c r="Q85" s="136">
        <v>4783.83</v>
      </c>
      <c r="R85" s="134">
        <f t="shared" si="3"/>
        <v>1.8434229462407803E-2</v>
      </c>
    </row>
    <row r="86" spans="2:18">
      <c r="B86" s="137">
        <v>45291</v>
      </c>
      <c r="C86">
        <v>35.99</v>
      </c>
      <c r="D86" s="134">
        <f t="shared" ref="D86:D149" si="4">C86/C87-1</f>
        <v>1.9487750556792527E-3</v>
      </c>
      <c r="F86" s="137">
        <v>45291</v>
      </c>
      <c r="G86">
        <v>11.68</v>
      </c>
      <c r="H86" s="134">
        <f t="shared" ref="H86:H149" si="5">G86/G87-1</f>
        <v>-2.8286189683860208E-2</v>
      </c>
      <c r="K86" s="137">
        <v>45291</v>
      </c>
      <c r="L86">
        <v>34.159999999999997</v>
      </c>
      <c r="M86" s="134">
        <f t="shared" ref="M86:M149" si="6">L86/L87-1</f>
        <v>-8.7363077745124307E-2</v>
      </c>
      <c r="N86" s="135"/>
      <c r="O86" s="135"/>
      <c r="P86" s="137">
        <v>45291</v>
      </c>
      <c r="Q86" s="136">
        <v>4697.24</v>
      </c>
      <c r="R86" s="134">
        <f t="shared" ref="R86:R149" si="7">Q86/Q87-1</f>
        <v>-1.5218571731067998E-2</v>
      </c>
    </row>
    <row r="87" spans="2:18">
      <c r="B87" s="137">
        <v>45284</v>
      </c>
      <c r="C87">
        <v>35.92</v>
      </c>
      <c r="D87" s="134">
        <f t="shared" si="4"/>
        <v>-2.7762354247640175E-3</v>
      </c>
      <c r="F87" s="137">
        <v>45284</v>
      </c>
      <c r="G87">
        <v>12.02</v>
      </c>
      <c r="H87" s="134">
        <f t="shared" si="5"/>
        <v>-1.2325390304026351E-2</v>
      </c>
      <c r="K87" s="137">
        <v>45284</v>
      </c>
      <c r="L87">
        <v>37.43</v>
      </c>
      <c r="M87" s="134">
        <f t="shared" si="6"/>
        <v>0.12740963855421672</v>
      </c>
      <c r="N87" s="135"/>
      <c r="O87" s="135"/>
      <c r="P87" s="137">
        <v>45284</v>
      </c>
      <c r="Q87" s="136">
        <v>4769.83</v>
      </c>
      <c r="R87" s="134">
        <f t="shared" si="7"/>
        <v>3.1968838795026766E-3</v>
      </c>
    </row>
    <row r="88" spans="2:18">
      <c r="B88" s="137">
        <v>45277</v>
      </c>
      <c r="C88">
        <v>36.020000000000003</v>
      </c>
      <c r="D88" s="134">
        <f t="shared" si="4"/>
        <v>8.1164287713408889E-3</v>
      </c>
      <c r="F88" s="137">
        <v>45277</v>
      </c>
      <c r="G88">
        <v>12.17</v>
      </c>
      <c r="H88" s="134">
        <f t="shared" si="5"/>
        <v>2.700421940928277E-2</v>
      </c>
      <c r="K88" s="137">
        <v>45277</v>
      </c>
      <c r="L88">
        <v>33.200000000000003</v>
      </c>
      <c r="M88" s="134">
        <f t="shared" si="6"/>
        <v>-6.0022650056625104E-2</v>
      </c>
      <c r="N88" s="135"/>
      <c r="O88" s="135"/>
      <c r="P88" s="137">
        <v>45277</v>
      </c>
      <c r="Q88" s="136">
        <v>4754.63</v>
      </c>
      <c r="R88" s="134">
        <f t="shared" si="7"/>
        <v>7.5097633280287734E-3</v>
      </c>
    </row>
    <row r="89" spans="2:18">
      <c r="B89" s="137">
        <v>45270</v>
      </c>
      <c r="C89">
        <v>35.729999999999997</v>
      </c>
      <c r="D89" s="134">
        <f t="shared" si="4"/>
        <v>5.8666666666666645E-2</v>
      </c>
      <c r="F89" s="137">
        <v>45270</v>
      </c>
      <c r="G89">
        <v>11.85</v>
      </c>
      <c r="H89" s="134">
        <f t="shared" si="5"/>
        <v>9.2165898617511566E-2</v>
      </c>
      <c r="K89" s="137">
        <v>45270</v>
      </c>
      <c r="L89">
        <v>35.32</v>
      </c>
      <c r="M89" s="134">
        <f t="shared" si="6"/>
        <v>1.2905075996558768E-2</v>
      </c>
      <c r="N89" s="135"/>
      <c r="O89" s="135"/>
      <c r="P89" s="137">
        <v>45270</v>
      </c>
      <c r="Q89" s="136">
        <v>4719.1899999999996</v>
      </c>
      <c r="R89" s="134">
        <f t="shared" si="7"/>
        <v>2.493717924493466E-2</v>
      </c>
    </row>
    <row r="90" spans="2:18">
      <c r="B90" s="137">
        <v>45263</v>
      </c>
      <c r="C90">
        <v>33.75</v>
      </c>
      <c r="D90" s="134">
        <f t="shared" si="4"/>
        <v>4.2954264524103891E-2</v>
      </c>
      <c r="F90" s="137">
        <v>45263</v>
      </c>
      <c r="G90">
        <v>10.85</v>
      </c>
      <c r="H90" s="134">
        <f t="shared" si="5"/>
        <v>4.0268456375838868E-2</v>
      </c>
      <c r="K90" s="137">
        <v>45263</v>
      </c>
      <c r="L90">
        <v>34.869999999999997</v>
      </c>
      <c r="M90" s="134">
        <f t="shared" si="6"/>
        <v>-3.9393939393939426E-2</v>
      </c>
      <c r="N90" s="135"/>
      <c r="O90" s="135"/>
      <c r="P90" s="137">
        <v>45263</v>
      </c>
      <c r="Q90" s="136">
        <v>4604.37</v>
      </c>
      <c r="R90" s="134">
        <f t="shared" si="7"/>
        <v>2.1198660175030248E-3</v>
      </c>
    </row>
    <row r="91" spans="2:18">
      <c r="B91" s="137">
        <v>45256</v>
      </c>
      <c r="C91">
        <v>32.36</v>
      </c>
      <c r="D91" s="134">
        <f t="shared" si="4"/>
        <v>0.14833215046131998</v>
      </c>
      <c r="F91" s="137">
        <v>45256</v>
      </c>
      <c r="G91">
        <v>10.43</v>
      </c>
      <c r="H91" s="134">
        <f t="shared" si="5"/>
        <v>1.7560975609756113E-2</v>
      </c>
      <c r="K91" s="137">
        <v>45256</v>
      </c>
      <c r="L91">
        <v>36.299999999999997</v>
      </c>
      <c r="M91" s="134">
        <f t="shared" si="6"/>
        <v>-0.12042645989823131</v>
      </c>
      <c r="N91" s="135"/>
      <c r="O91" s="135"/>
      <c r="P91" s="137">
        <v>45256</v>
      </c>
      <c r="Q91" s="136">
        <v>4594.63</v>
      </c>
      <c r="R91" s="134">
        <f t="shared" si="7"/>
        <v>7.740155373365365E-3</v>
      </c>
    </row>
    <row r="92" spans="2:18">
      <c r="B92" s="137">
        <v>45249</v>
      </c>
      <c r="C92">
        <v>28.18</v>
      </c>
      <c r="D92" s="134">
        <f t="shared" si="4"/>
        <v>5.3514092044237849E-3</v>
      </c>
      <c r="F92" s="137">
        <v>45249</v>
      </c>
      <c r="G92">
        <v>10.25</v>
      </c>
      <c r="H92" s="134">
        <f t="shared" si="5"/>
        <v>1.2845849802371578E-2</v>
      </c>
      <c r="K92" s="137">
        <v>45249</v>
      </c>
      <c r="L92">
        <v>41.27</v>
      </c>
      <c r="M92" s="134">
        <f t="shared" si="6"/>
        <v>1.1519607843137436E-2</v>
      </c>
      <c r="N92" s="135"/>
      <c r="O92" s="135"/>
      <c r="P92" s="137">
        <v>45249</v>
      </c>
      <c r="Q92" s="136">
        <v>4559.34</v>
      </c>
      <c r="R92" s="134">
        <f t="shared" si="7"/>
        <v>1.003983145843379E-2</v>
      </c>
    </row>
    <row r="93" spans="2:18">
      <c r="B93" s="137">
        <v>45242</v>
      </c>
      <c r="C93">
        <v>28.03</v>
      </c>
      <c r="D93" s="134">
        <f t="shared" si="4"/>
        <v>4.3947858472998202E-2</v>
      </c>
      <c r="F93" s="137">
        <v>45242</v>
      </c>
      <c r="G93">
        <v>10.119999999999999</v>
      </c>
      <c r="H93" s="134">
        <f t="shared" si="5"/>
        <v>4.1152263374485409E-2</v>
      </c>
      <c r="K93" s="137">
        <v>45242</v>
      </c>
      <c r="L93">
        <v>40.799999999999997</v>
      </c>
      <c r="M93" s="134">
        <f t="shared" si="6"/>
        <v>0.10389610389610371</v>
      </c>
      <c r="N93" s="135"/>
      <c r="O93" s="135"/>
      <c r="P93" s="137">
        <v>45242</v>
      </c>
      <c r="Q93" s="136">
        <v>4514.0200000000004</v>
      </c>
      <c r="R93" s="134">
        <f t="shared" si="7"/>
        <v>2.2372509761643844E-2</v>
      </c>
    </row>
    <row r="94" spans="2:18">
      <c r="B94" s="137">
        <v>45235</v>
      </c>
      <c r="C94">
        <v>26.85</v>
      </c>
      <c r="D94" s="134">
        <f t="shared" si="4"/>
        <v>-9.8085320792744346E-2</v>
      </c>
      <c r="F94" s="137">
        <v>45235</v>
      </c>
      <c r="G94">
        <v>9.7200000000000006</v>
      </c>
      <c r="H94" s="134">
        <f t="shared" si="5"/>
        <v>-6.628242074927948E-2</v>
      </c>
      <c r="K94" s="137">
        <v>45235</v>
      </c>
      <c r="L94">
        <v>36.96</v>
      </c>
      <c r="M94" s="134">
        <f t="shared" si="6"/>
        <v>1.650165016501659E-2</v>
      </c>
      <c r="N94" s="135"/>
      <c r="O94" s="135"/>
      <c r="P94" s="137">
        <v>45235</v>
      </c>
      <c r="Q94" s="136">
        <v>4415.24</v>
      </c>
      <c r="R94" s="134">
        <f t="shared" si="7"/>
        <v>1.3055429360719906E-2</v>
      </c>
    </row>
    <row r="95" spans="2:18">
      <c r="B95" s="137">
        <v>45228</v>
      </c>
      <c r="C95">
        <v>29.77</v>
      </c>
      <c r="D95" s="134">
        <f t="shared" si="4"/>
        <v>9.3681116825863331E-2</v>
      </c>
      <c r="F95" s="137">
        <v>45228</v>
      </c>
      <c r="G95">
        <v>10.41</v>
      </c>
      <c r="H95" s="134">
        <f t="shared" si="5"/>
        <v>6.0081466395111915E-2</v>
      </c>
      <c r="K95" s="137">
        <v>45228</v>
      </c>
      <c r="L95">
        <v>36.36</v>
      </c>
      <c r="M95" s="134">
        <f t="shared" si="6"/>
        <v>3.9154044012575051E-2</v>
      </c>
      <c r="N95" s="135"/>
      <c r="O95" s="135"/>
      <c r="P95" s="137">
        <v>45228</v>
      </c>
      <c r="Q95" s="136">
        <v>4358.34</v>
      </c>
      <c r="R95" s="134">
        <f t="shared" si="7"/>
        <v>5.852522362576118E-2</v>
      </c>
    </row>
    <row r="96" spans="2:18">
      <c r="B96" s="137">
        <v>45221</v>
      </c>
      <c r="C96">
        <v>27.22</v>
      </c>
      <c r="D96" s="134">
        <f t="shared" si="4"/>
        <v>-8.2265677680377625E-2</v>
      </c>
      <c r="F96" s="137">
        <v>45221</v>
      </c>
      <c r="G96">
        <v>9.82</v>
      </c>
      <c r="H96" s="134">
        <f t="shared" si="5"/>
        <v>-0.14385353095030518</v>
      </c>
      <c r="K96" s="137">
        <v>45221</v>
      </c>
      <c r="L96">
        <v>34.99</v>
      </c>
      <c r="M96" s="134">
        <f t="shared" si="6"/>
        <v>9.7209156475384084E-2</v>
      </c>
      <c r="N96" s="135"/>
      <c r="O96" s="135"/>
      <c r="P96" s="137">
        <v>45221</v>
      </c>
      <c r="Q96" s="136">
        <v>4117.37</v>
      </c>
      <c r="R96" s="134">
        <f t="shared" si="7"/>
        <v>-2.5280765880080325E-2</v>
      </c>
    </row>
    <row r="97" spans="2:18">
      <c r="B97" s="137">
        <v>45214</v>
      </c>
      <c r="C97">
        <v>29.66</v>
      </c>
      <c r="D97" s="134">
        <f t="shared" si="4"/>
        <v>0</v>
      </c>
      <c r="F97" s="137">
        <v>45214</v>
      </c>
      <c r="G97">
        <v>11.47</v>
      </c>
      <c r="H97" s="134">
        <f t="shared" si="5"/>
        <v>-1.4604810996563522E-2</v>
      </c>
      <c r="K97" s="137">
        <v>45214</v>
      </c>
      <c r="L97">
        <v>31.89</v>
      </c>
      <c r="M97" s="134">
        <f t="shared" si="6"/>
        <v>-7.0262390670553843E-2</v>
      </c>
      <c r="N97" s="135"/>
      <c r="O97" s="135"/>
      <c r="P97" s="137">
        <v>45214</v>
      </c>
      <c r="Q97" s="136">
        <v>4224.16</v>
      </c>
      <c r="R97" s="134">
        <f t="shared" si="7"/>
        <v>-2.3942991556872073E-2</v>
      </c>
    </row>
    <row r="98" spans="2:18">
      <c r="B98" s="137">
        <v>45207</v>
      </c>
      <c r="C98">
        <v>29.66</v>
      </c>
      <c r="D98" s="134">
        <f t="shared" si="4"/>
        <v>-4.012944983818767E-2</v>
      </c>
      <c r="F98" s="137">
        <v>45207</v>
      </c>
      <c r="G98">
        <v>11.64</v>
      </c>
      <c r="H98" s="134">
        <f t="shared" si="5"/>
        <v>-1.6060862214708371E-2</v>
      </c>
      <c r="K98" s="137">
        <v>45207</v>
      </c>
      <c r="L98">
        <v>34.299999999999997</v>
      </c>
      <c r="M98" s="134">
        <f t="shared" si="6"/>
        <v>-2.0279920022850617E-2</v>
      </c>
      <c r="N98" s="135"/>
      <c r="O98" s="135"/>
      <c r="P98" s="137">
        <v>45207</v>
      </c>
      <c r="Q98" s="136">
        <v>4327.78</v>
      </c>
      <c r="R98" s="134">
        <f t="shared" si="7"/>
        <v>4.4748752466055031E-3</v>
      </c>
    </row>
    <row r="99" spans="2:18">
      <c r="B99" s="137">
        <v>45200</v>
      </c>
      <c r="C99">
        <v>30.9</v>
      </c>
      <c r="D99" s="134">
        <f t="shared" si="4"/>
        <v>-6.2784349408553264E-2</v>
      </c>
      <c r="F99" s="137">
        <v>45200</v>
      </c>
      <c r="G99">
        <v>11.83</v>
      </c>
      <c r="H99" s="134">
        <f t="shared" si="5"/>
        <v>-3.3496732026143783E-2</v>
      </c>
      <c r="K99" s="137">
        <v>45200</v>
      </c>
      <c r="L99">
        <v>35.01</v>
      </c>
      <c r="M99" s="134">
        <f t="shared" si="6"/>
        <v>-1.7952314165497918E-2</v>
      </c>
      <c r="N99" s="135"/>
      <c r="O99" s="135"/>
      <c r="P99" s="137">
        <v>45200</v>
      </c>
      <c r="Q99" s="136">
        <v>4308.5</v>
      </c>
      <c r="R99" s="134">
        <f t="shared" si="7"/>
        <v>4.7690675248655001E-3</v>
      </c>
    </row>
    <row r="100" spans="2:18">
      <c r="B100" s="137">
        <v>45193</v>
      </c>
      <c r="C100">
        <v>32.97</v>
      </c>
      <c r="D100" s="134">
        <f t="shared" si="4"/>
        <v>1.1970534069981609E-2</v>
      </c>
      <c r="F100" s="137">
        <v>45193</v>
      </c>
      <c r="G100">
        <v>12.24</v>
      </c>
      <c r="H100" s="134">
        <f t="shared" si="5"/>
        <v>-8.1632653061225469E-4</v>
      </c>
      <c r="K100" s="137">
        <v>45193</v>
      </c>
      <c r="L100">
        <v>35.65</v>
      </c>
      <c r="M100" s="134">
        <f t="shared" si="6"/>
        <v>-9.241344195519352E-2</v>
      </c>
      <c r="N100" s="135"/>
      <c r="O100" s="135"/>
      <c r="P100" s="137">
        <v>45193</v>
      </c>
      <c r="Q100" s="136">
        <v>4288.05</v>
      </c>
      <c r="R100" s="134">
        <f t="shared" si="7"/>
        <v>-7.4096193108429409E-3</v>
      </c>
    </row>
    <row r="101" spans="2:18">
      <c r="B101" s="137">
        <v>45186</v>
      </c>
      <c r="C101">
        <v>32.58</v>
      </c>
      <c r="D101" s="134">
        <f t="shared" si="4"/>
        <v>-4.0353460972017752E-2</v>
      </c>
      <c r="F101" s="137">
        <v>45186</v>
      </c>
      <c r="G101">
        <v>12.25</v>
      </c>
      <c r="H101" s="134">
        <f t="shared" si="5"/>
        <v>-1.4481094127111849E-2</v>
      </c>
      <c r="K101" s="137">
        <v>45186</v>
      </c>
      <c r="L101">
        <v>39.28</v>
      </c>
      <c r="M101" s="134">
        <f t="shared" si="6"/>
        <v>-3.3702337023370221E-2</v>
      </c>
      <c r="N101" s="135"/>
      <c r="O101" s="135"/>
      <c r="P101" s="137">
        <v>45186</v>
      </c>
      <c r="Q101" s="136">
        <v>4320.0600000000004</v>
      </c>
      <c r="R101" s="134">
        <f t="shared" si="7"/>
        <v>-2.9269805317370334E-2</v>
      </c>
    </row>
    <row r="102" spans="2:18">
      <c r="B102" s="137">
        <v>45179</v>
      </c>
      <c r="C102">
        <v>33.950000000000003</v>
      </c>
      <c r="D102" s="134">
        <f t="shared" si="4"/>
        <v>3.0349013657056112E-2</v>
      </c>
      <c r="F102" s="137">
        <v>45179</v>
      </c>
      <c r="G102">
        <v>12.43</v>
      </c>
      <c r="H102" s="134">
        <f t="shared" si="5"/>
        <v>2.5577557755775526E-2</v>
      </c>
      <c r="K102" s="137">
        <v>45179</v>
      </c>
      <c r="L102">
        <v>40.65</v>
      </c>
      <c r="M102" s="134">
        <f t="shared" si="6"/>
        <v>5.859375E-2</v>
      </c>
      <c r="N102" s="135"/>
      <c r="O102" s="135"/>
      <c r="P102" s="137">
        <v>45179</v>
      </c>
      <c r="Q102" s="136">
        <v>4450.32</v>
      </c>
      <c r="R102" s="134">
        <f t="shared" si="7"/>
        <v>-1.6085285665251581E-3</v>
      </c>
    </row>
    <row r="103" spans="2:18">
      <c r="B103" s="137">
        <v>45172</v>
      </c>
      <c r="C103">
        <v>32.950000000000003</v>
      </c>
      <c r="D103" s="134">
        <f t="shared" si="4"/>
        <v>-1.759093619558727E-2</v>
      </c>
      <c r="F103" s="137">
        <v>45172</v>
      </c>
      <c r="G103">
        <v>12.12</v>
      </c>
      <c r="H103" s="134">
        <f t="shared" si="5"/>
        <v>1.2531328320801949E-2</v>
      </c>
      <c r="K103" s="137">
        <v>45172</v>
      </c>
      <c r="L103">
        <v>38.4</v>
      </c>
      <c r="M103" s="134">
        <f t="shared" si="6"/>
        <v>-9.2841956059532271E-2</v>
      </c>
      <c r="N103" s="135"/>
      <c r="O103" s="135"/>
      <c r="P103" s="137">
        <v>45172</v>
      </c>
      <c r="Q103" s="136">
        <v>4457.49</v>
      </c>
      <c r="R103" s="134">
        <f t="shared" si="7"/>
        <v>-1.290588316056851E-2</v>
      </c>
    </row>
    <row r="104" spans="2:18">
      <c r="B104" s="137">
        <v>45165</v>
      </c>
      <c r="C104">
        <v>33.54</v>
      </c>
      <c r="D104" s="134">
        <f t="shared" si="4"/>
        <v>1.7905918057663062E-2</v>
      </c>
      <c r="F104" s="137">
        <v>45165</v>
      </c>
      <c r="G104">
        <v>11.97</v>
      </c>
      <c r="H104" s="134">
        <f t="shared" si="5"/>
        <v>1.9591141396933631E-2</v>
      </c>
      <c r="K104" s="137">
        <v>45165</v>
      </c>
      <c r="L104">
        <v>42.33</v>
      </c>
      <c r="M104" s="134">
        <f t="shared" si="6"/>
        <v>7.8196637799286872E-2</v>
      </c>
      <c r="N104" s="135"/>
      <c r="O104" s="135"/>
      <c r="P104" s="137">
        <v>45165</v>
      </c>
      <c r="Q104" s="136">
        <v>4515.7700000000004</v>
      </c>
      <c r="R104" s="134">
        <f t="shared" si="7"/>
        <v>2.4981217556307778E-2</v>
      </c>
    </row>
    <row r="105" spans="2:18">
      <c r="B105" s="137">
        <v>45158</v>
      </c>
      <c r="C105">
        <v>32.950000000000003</v>
      </c>
      <c r="D105" s="134">
        <f t="shared" si="4"/>
        <v>-5.13285024154575E-3</v>
      </c>
      <c r="F105" s="137">
        <v>45158</v>
      </c>
      <c r="G105">
        <v>11.74</v>
      </c>
      <c r="H105" s="134">
        <f t="shared" si="5"/>
        <v>-4.2408821034773947E-3</v>
      </c>
      <c r="K105" s="137">
        <v>45158</v>
      </c>
      <c r="L105">
        <v>39.26</v>
      </c>
      <c r="M105" s="134">
        <f t="shared" si="6"/>
        <v>1.1073911923770163E-2</v>
      </c>
      <c r="N105" s="135"/>
      <c r="O105" s="135"/>
      <c r="P105" s="137">
        <v>45158</v>
      </c>
      <c r="Q105" s="136">
        <v>4405.71</v>
      </c>
      <c r="R105" s="134">
        <f t="shared" si="7"/>
        <v>8.2385329918919226E-3</v>
      </c>
    </row>
    <row r="106" spans="2:18">
      <c r="B106" s="137">
        <v>45151</v>
      </c>
      <c r="C106">
        <v>33.119999999999997</v>
      </c>
      <c r="D106" s="134">
        <f t="shared" si="4"/>
        <v>-2.2720566538802056E-2</v>
      </c>
      <c r="F106" s="137">
        <v>45151</v>
      </c>
      <c r="G106">
        <v>11.79</v>
      </c>
      <c r="H106" s="134">
        <f t="shared" si="5"/>
        <v>-1.5037593984962516E-2</v>
      </c>
      <c r="K106" s="137">
        <v>45151</v>
      </c>
      <c r="L106">
        <v>38.83</v>
      </c>
      <c r="M106" s="134">
        <f t="shared" si="6"/>
        <v>-4.0523844823325939E-2</v>
      </c>
      <c r="N106" s="135"/>
      <c r="O106" s="135"/>
      <c r="P106" s="137">
        <v>45151</v>
      </c>
      <c r="Q106" s="136">
        <v>4369.71</v>
      </c>
      <c r="R106" s="134">
        <f t="shared" si="7"/>
        <v>-2.1133275836964227E-2</v>
      </c>
    </row>
    <row r="107" spans="2:18">
      <c r="B107" s="137">
        <v>45144</v>
      </c>
      <c r="C107">
        <v>33.89</v>
      </c>
      <c r="D107" s="134">
        <f t="shared" si="4"/>
        <v>-7.3284112660650824E-2</v>
      </c>
      <c r="F107" s="137">
        <v>45144</v>
      </c>
      <c r="G107">
        <v>11.97</v>
      </c>
      <c r="H107" s="134">
        <f t="shared" si="5"/>
        <v>-5.8221872541306063E-2</v>
      </c>
      <c r="K107" s="137">
        <v>45144</v>
      </c>
      <c r="L107">
        <v>40.47</v>
      </c>
      <c r="M107" s="134">
        <f t="shared" si="6"/>
        <v>-0.11714659685863882</v>
      </c>
      <c r="N107" s="135"/>
      <c r="O107" s="135"/>
      <c r="P107" s="137">
        <v>45144</v>
      </c>
      <c r="Q107" s="136">
        <v>4464.05</v>
      </c>
      <c r="R107" s="134">
        <f t="shared" si="7"/>
        <v>-3.1219085178079142E-3</v>
      </c>
    </row>
    <row r="108" spans="2:18">
      <c r="B108" s="137">
        <v>45137</v>
      </c>
      <c r="C108">
        <v>36.57</v>
      </c>
      <c r="D108" s="134">
        <f t="shared" si="4"/>
        <v>-3.8896189224704281E-2</v>
      </c>
      <c r="F108" s="137">
        <v>45137</v>
      </c>
      <c r="G108">
        <v>12.71</v>
      </c>
      <c r="H108" s="134">
        <f t="shared" si="5"/>
        <v>-2.7543993879112438E-2</v>
      </c>
      <c r="K108" s="137">
        <v>45137</v>
      </c>
      <c r="L108">
        <v>45.84</v>
      </c>
      <c r="M108" s="134">
        <f t="shared" si="6"/>
        <v>7.3033707865168607E-2</v>
      </c>
      <c r="N108" s="135"/>
      <c r="O108" s="135"/>
      <c r="P108" s="137">
        <v>45137</v>
      </c>
      <c r="Q108" s="136">
        <v>4478.03</v>
      </c>
      <c r="R108" s="134">
        <f t="shared" si="7"/>
        <v>-2.2740019597444872E-2</v>
      </c>
    </row>
    <row r="109" spans="2:18">
      <c r="B109" s="137">
        <v>45130</v>
      </c>
      <c r="C109">
        <v>38.049999999999997</v>
      </c>
      <c r="D109" s="134">
        <f t="shared" si="4"/>
        <v>-1.2970168612191912E-2</v>
      </c>
      <c r="F109" s="137">
        <v>45130</v>
      </c>
      <c r="G109">
        <v>13.07</v>
      </c>
      <c r="H109" s="134">
        <f t="shared" si="5"/>
        <v>-4.8069919883466872E-2</v>
      </c>
      <c r="K109" s="137">
        <v>45130</v>
      </c>
      <c r="L109">
        <v>42.72</v>
      </c>
      <c r="M109" s="134">
        <f t="shared" si="6"/>
        <v>0.15553151203678661</v>
      </c>
      <c r="N109" s="135"/>
      <c r="O109" s="135"/>
      <c r="P109" s="137">
        <v>45130</v>
      </c>
      <c r="Q109" s="136">
        <v>4582.2299999999996</v>
      </c>
      <c r="R109" s="134">
        <f t="shared" si="7"/>
        <v>1.0116084773187151E-2</v>
      </c>
    </row>
    <row r="110" spans="2:18">
      <c r="B110" s="137">
        <v>45123</v>
      </c>
      <c r="C110">
        <v>38.549999999999997</v>
      </c>
      <c r="D110" s="134">
        <f t="shared" si="4"/>
        <v>-3.6250000000000115E-2</v>
      </c>
      <c r="F110" s="137">
        <v>45123</v>
      </c>
      <c r="G110">
        <v>13.73</v>
      </c>
      <c r="H110" s="134">
        <f t="shared" si="5"/>
        <v>-7.0412999322951864E-2</v>
      </c>
      <c r="K110" s="137">
        <v>45123</v>
      </c>
      <c r="L110">
        <v>36.97</v>
      </c>
      <c r="M110" s="134">
        <f t="shared" si="6"/>
        <v>-8.1081081081080253E-4</v>
      </c>
      <c r="N110" s="135"/>
      <c r="O110" s="135"/>
      <c r="P110" s="137">
        <v>45123</v>
      </c>
      <c r="Q110" s="136">
        <v>4536.34</v>
      </c>
      <c r="R110" s="134">
        <f t="shared" si="7"/>
        <v>6.8628451953425262E-3</v>
      </c>
    </row>
    <row r="111" spans="2:18">
      <c r="B111" s="137">
        <v>45116</v>
      </c>
      <c r="C111">
        <v>40</v>
      </c>
      <c r="D111" s="134">
        <f t="shared" si="4"/>
        <v>9.8459984852310445E-3</v>
      </c>
      <c r="F111" s="137">
        <v>45116</v>
      </c>
      <c r="G111">
        <v>14.77</v>
      </c>
      <c r="H111" s="134">
        <f t="shared" si="5"/>
        <v>0</v>
      </c>
      <c r="K111" s="137">
        <v>45116</v>
      </c>
      <c r="L111">
        <v>37</v>
      </c>
      <c r="M111" s="134">
        <f t="shared" si="6"/>
        <v>3.0927835051546282E-2</v>
      </c>
      <c r="N111" s="135"/>
      <c r="O111" s="135"/>
      <c r="P111" s="137">
        <v>45116</v>
      </c>
      <c r="Q111" s="136">
        <v>4505.42</v>
      </c>
      <c r="R111" s="134">
        <f t="shared" si="7"/>
        <v>2.4203503108696456E-2</v>
      </c>
    </row>
    <row r="112" spans="2:18">
      <c r="B112" s="137">
        <v>45109</v>
      </c>
      <c r="C112">
        <v>39.61</v>
      </c>
      <c r="D112" s="134">
        <f t="shared" si="4"/>
        <v>2.7230290456431439E-2</v>
      </c>
      <c r="F112" s="137">
        <v>45109</v>
      </c>
      <c r="G112">
        <v>14.77</v>
      </c>
      <c r="H112" s="134">
        <f t="shared" si="5"/>
        <v>-9.3896713615023719E-3</v>
      </c>
      <c r="K112" s="137">
        <v>45109</v>
      </c>
      <c r="L112">
        <v>35.89</v>
      </c>
      <c r="M112" s="134">
        <f t="shared" si="6"/>
        <v>2.2507122507122501E-2</v>
      </c>
      <c r="N112" s="135"/>
      <c r="O112" s="135"/>
      <c r="P112" s="137">
        <v>45109</v>
      </c>
      <c r="Q112" s="136">
        <v>4398.95</v>
      </c>
      <c r="R112" s="134">
        <f t="shared" si="7"/>
        <v>-1.1556316539261924E-2</v>
      </c>
    </row>
    <row r="113" spans="2:18">
      <c r="B113" s="137">
        <v>45102</v>
      </c>
      <c r="C113">
        <v>38.56</v>
      </c>
      <c r="D113" s="134">
        <f t="shared" si="4"/>
        <v>6.5782200110558353E-2</v>
      </c>
      <c r="F113" s="137">
        <v>45102</v>
      </c>
      <c r="G113">
        <v>14.91</v>
      </c>
      <c r="H113" s="134">
        <f t="shared" si="5"/>
        <v>7.8871201157742377E-2</v>
      </c>
      <c r="K113" s="137">
        <v>45102</v>
      </c>
      <c r="L113">
        <v>35.1</v>
      </c>
      <c r="M113" s="134">
        <f t="shared" si="6"/>
        <v>5.6592414208308295E-2</v>
      </c>
      <c r="N113" s="135"/>
      <c r="O113" s="135"/>
      <c r="P113" s="137">
        <v>45102</v>
      </c>
      <c r="Q113" s="136">
        <v>4450.38</v>
      </c>
      <c r="R113" s="134">
        <f t="shared" si="7"/>
        <v>2.3468779968401687E-2</v>
      </c>
    </row>
    <row r="114" spans="2:18">
      <c r="B114" s="137">
        <v>45095</v>
      </c>
      <c r="C114">
        <v>36.18</v>
      </c>
      <c r="D114" s="134">
        <f t="shared" si="4"/>
        <v>-4.689146469968386E-2</v>
      </c>
      <c r="F114" s="137">
        <v>45095</v>
      </c>
      <c r="G114">
        <v>13.82</v>
      </c>
      <c r="H114" s="134">
        <f t="shared" si="5"/>
        <v>-2.7445460942997935E-2</v>
      </c>
      <c r="K114" s="137">
        <v>45095</v>
      </c>
      <c r="L114">
        <v>33.22</v>
      </c>
      <c r="M114" s="134">
        <f t="shared" si="6"/>
        <v>-3.4582970066840968E-2</v>
      </c>
      <c r="N114" s="135"/>
      <c r="O114" s="135"/>
      <c r="P114" s="137">
        <v>45095</v>
      </c>
      <c r="Q114" s="136">
        <v>4348.33</v>
      </c>
      <c r="R114" s="134">
        <f t="shared" si="7"/>
        <v>-1.389244805072587E-2</v>
      </c>
    </row>
    <row r="115" spans="2:18">
      <c r="B115" s="137">
        <v>45088</v>
      </c>
      <c r="C115">
        <v>37.96</v>
      </c>
      <c r="D115" s="134">
        <f t="shared" si="4"/>
        <v>4.7750483025117418E-2</v>
      </c>
      <c r="F115" s="137">
        <v>45088</v>
      </c>
      <c r="G115">
        <v>14.21</v>
      </c>
      <c r="H115" s="134">
        <f t="shared" si="5"/>
        <v>4.9483013293943889E-2</v>
      </c>
      <c r="K115" s="137">
        <v>45088</v>
      </c>
      <c r="L115">
        <v>34.409999999999997</v>
      </c>
      <c r="M115" s="134">
        <f t="shared" si="6"/>
        <v>8.2756450597860187E-2</v>
      </c>
      <c r="N115" s="135"/>
      <c r="O115" s="135"/>
      <c r="P115" s="137">
        <v>45088</v>
      </c>
      <c r="Q115" s="136">
        <v>4409.59</v>
      </c>
      <c r="R115" s="134">
        <f t="shared" si="7"/>
        <v>2.5757991653601264E-2</v>
      </c>
    </row>
    <row r="116" spans="2:18">
      <c r="B116" s="137">
        <v>45081</v>
      </c>
      <c r="C116">
        <v>36.229999999999997</v>
      </c>
      <c r="D116" s="134">
        <f t="shared" si="4"/>
        <v>5.6884480746790977E-2</v>
      </c>
      <c r="F116" s="137">
        <v>45081</v>
      </c>
      <c r="G116">
        <v>13.54</v>
      </c>
      <c r="H116" s="134">
        <f t="shared" si="5"/>
        <v>0.10892710892710888</v>
      </c>
      <c r="K116" s="137">
        <v>45081</v>
      </c>
      <c r="L116">
        <v>31.78</v>
      </c>
      <c r="M116" s="134">
        <f t="shared" si="6"/>
        <v>7.9483695652173836E-2</v>
      </c>
      <c r="N116" s="135"/>
      <c r="O116" s="135"/>
      <c r="P116" s="137">
        <v>45081</v>
      </c>
      <c r="Q116" s="136">
        <v>4298.8599999999997</v>
      </c>
      <c r="R116" s="134">
        <f t="shared" si="7"/>
        <v>3.8506714739734438E-3</v>
      </c>
    </row>
    <row r="117" spans="2:18">
      <c r="B117" s="137">
        <v>45074</v>
      </c>
      <c r="C117">
        <v>34.28</v>
      </c>
      <c r="D117" s="134">
        <f t="shared" si="4"/>
        <v>2.9738660258335825E-2</v>
      </c>
      <c r="F117" s="137">
        <v>45074</v>
      </c>
      <c r="G117">
        <v>12.21</v>
      </c>
      <c r="H117" s="134">
        <f t="shared" si="5"/>
        <v>2.4328859060402719E-2</v>
      </c>
      <c r="K117" s="137">
        <v>45074</v>
      </c>
      <c r="L117">
        <v>29.44</v>
      </c>
      <c r="M117" s="134">
        <f t="shared" si="6"/>
        <v>4.5454545454545414E-2</v>
      </c>
      <c r="N117" s="135"/>
      <c r="O117" s="135"/>
      <c r="P117" s="137">
        <v>45074</v>
      </c>
      <c r="Q117" s="136">
        <v>4282.37</v>
      </c>
      <c r="R117" s="134">
        <f t="shared" si="7"/>
        <v>1.8290551546207956E-2</v>
      </c>
    </row>
    <row r="118" spans="2:18">
      <c r="B118" s="137">
        <v>45067</v>
      </c>
      <c r="C118">
        <v>33.29</v>
      </c>
      <c r="D118" s="134">
        <f t="shared" si="4"/>
        <v>1.9289650949173343E-2</v>
      </c>
      <c r="F118" s="137">
        <v>45067</v>
      </c>
      <c r="G118">
        <v>11.92</v>
      </c>
      <c r="H118" s="134">
        <f t="shared" si="5"/>
        <v>3.8327526132404088E-2</v>
      </c>
      <c r="K118" s="137">
        <v>45067</v>
      </c>
      <c r="L118">
        <v>28.16</v>
      </c>
      <c r="M118" s="134">
        <f t="shared" si="6"/>
        <v>-3.2302405498281783E-2</v>
      </c>
      <c r="N118" s="135"/>
      <c r="O118" s="135"/>
      <c r="P118" s="137">
        <v>45067</v>
      </c>
      <c r="Q118" s="136">
        <v>4205.45</v>
      </c>
      <c r="R118" s="134">
        <f t="shared" si="7"/>
        <v>3.2132786893068754E-3</v>
      </c>
    </row>
    <row r="119" spans="2:18">
      <c r="B119" s="137">
        <v>45060</v>
      </c>
      <c r="C119">
        <v>32.659999999999997</v>
      </c>
      <c r="D119" s="134">
        <f t="shared" si="4"/>
        <v>8.0246913580246382E-3</v>
      </c>
      <c r="F119" s="137">
        <v>45060</v>
      </c>
      <c r="G119">
        <v>11.48</v>
      </c>
      <c r="H119" s="134">
        <f t="shared" si="5"/>
        <v>-1.7391304347825765E-3</v>
      </c>
      <c r="K119" s="137">
        <v>45060</v>
      </c>
      <c r="L119">
        <v>29.1</v>
      </c>
      <c r="M119" s="134">
        <f t="shared" si="6"/>
        <v>-1.1548913043478271E-2</v>
      </c>
      <c r="N119" s="135"/>
      <c r="O119" s="135"/>
      <c r="P119" s="137">
        <v>45060</v>
      </c>
      <c r="Q119" s="136">
        <v>4191.9799999999996</v>
      </c>
      <c r="R119" s="134">
        <f t="shared" si="7"/>
        <v>1.6464278093538454E-2</v>
      </c>
    </row>
    <row r="120" spans="2:18">
      <c r="B120" s="137">
        <v>45053</v>
      </c>
      <c r="C120">
        <v>32.4</v>
      </c>
      <c r="D120" s="134">
        <f t="shared" si="4"/>
        <v>-2.5856885147324093E-2</v>
      </c>
      <c r="F120" s="137">
        <v>45053</v>
      </c>
      <c r="G120">
        <v>11.5</v>
      </c>
      <c r="H120" s="134">
        <f t="shared" si="5"/>
        <v>-2.7072758037225086E-2</v>
      </c>
      <c r="K120" s="137">
        <v>45053</v>
      </c>
      <c r="L120">
        <v>29.44</v>
      </c>
      <c r="M120" s="134">
        <f t="shared" si="6"/>
        <v>0.23025491015461763</v>
      </c>
      <c r="N120" s="135"/>
      <c r="O120" s="135"/>
      <c r="P120" s="137">
        <v>45053</v>
      </c>
      <c r="Q120" s="136">
        <v>4124.08</v>
      </c>
      <c r="R120" s="134">
        <f t="shared" si="7"/>
        <v>-2.9422786340284057E-3</v>
      </c>
    </row>
    <row r="121" spans="2:18">
      <c r="B121" s="137">
        <v>45046</v>
      </c>
      <c r="C121">
        <v>33.26</v>
      </c>
      <c r="D121" s="134">
        <f t="shared" si="4"/>
        <v>6.6585956416465031E-3</v>
      </c>
      <c r="F121" s="137">
        <v>45046</v>
      </c>
      <c r="G121">
        <v>11.82</v>
      </c>
      <c r="H121" s="134">
        <f t="shared" si="5"/>
        <v>9.3936806148591234E-3</v>
      </c>
      <c r="K121" s="137">
        <v>45046</v>
      </c>
      <c r="L121">
        <v>23.93</v>
      </c>
      <c r="M121" s="134">
        <f t="shared" si="6"/>
        <v>1.8297872340425458E-2</v>
      </c>
      <c r="N121" s="135"/>
      <c r="O121" s="135"/>
      <c r="P121" s="137">
        <v>45046</v>
      </c>
      <c r="Q121" s="136">
        <v>4136.25</v>
      </c>
      <c r="R121" s="134">
        <f t="shared" si="7"/>
        <v>-7.9698187783607821E-3</v>
      </c>
    </row>
    <row r="122" spans="2:18">
      <c r="B122" s="137">
        <v>45039</v>
      </c>
      <c r="C122">
        <v>33.04</v>
      </c>
      <c r="D122" s="134">
        <f t="shared" si="4"/>
        <v>-1.5201192250372531E-2</v>
      </c>
      <c r="F122" s="137">
        <v>45039</v>
      </c>
      <c r="G122">
        <v>11.71</v>
      </c>
      <c r="H122" s="134">
        <f t="shared" si="5"/>
        <v>6.0137457044673326E-3</v>
      </c>
      <c r="K122" s="137">
        <v>45039</v>
      </c>
      <c r="L122">
        <v>23.5</v>
      </c>
      <c r="M122" s="134">
        <f t="shared" si="6"/>
        <v>2.4858264282599185E-2</v>
      </c>
      <c r="N122" s="135"/>
      <c r="O122" s="135"/>
      <c r="P122" s="137">
        <v>45039</v>
      </c>
      <c r="Q122" s="136">
        <v>4169.4799999999996</v>
      </c>
      <c r="R122" s="134">
        <f t="shared" si="7"/>
        <v>8.6996071145171161E-3</v>
      </c>
    </row>
    <row r="123" spans="2:18">
      <c r="B123" s="137">
        <v>45032</v>
      </c>
      <c r="C123">
        <v>33.549999999999997</v>
      </c>
      <c r="D123" s="134">
        <f t="shared" si="4"/>
        <v>-2.7254276601913707E-2</v>
      </c>
      <c r="F123" s="137">
        <v>45032</v>
      </c>
      <c r="G123">
        <v>11.64</v>
      </c>
      <c r="H123" s="134">
        <f t="shared" si="5"/>
        <v>-5.6726094003241467E-2</v>
      </c>
      <c r="K123" s="137">
        <v>45032</v>
      </c>
      <c r="L123">
        <v>22.93</v>
      </c>
      <c r="M123" s="134">
        <f t="shared" si="6"/>
        <v>-6.6368078175895739E-2</v>
      </c>
      <c r="N123" s="135"/>
      <c r="O123" s="135"/>
      <c r="P123" s="137">
        <v>45032</v>
      </c>
      <c r="Q123" s="136">
        <v>4133.5200000000004</v>
      </c>
      <c r="R123" s="134">
        <f t="shared" si="7"/>
        <v>-9.9573670014785343E-4</v>
      </c>
    </row>
    <row r="124" spans="2:18">
      <c r="B124" s="137">
        <v>45025</v>
      </c>
      <c r="C124">
        <v>34.49</v>
      </c>
      <c r="D124" s="134">
        <f t="shared" si="4"/>
        <v>-2.8910089621277946E-3</v>
      </c>
      <c r="F124" s="137">
        <v>45025</v>
      </c>
      <c r="G124">
        <v>12.34</v>
      </c>
      <c r="H124" s="134">
        <f t="shared" si="5"/>
        <v>1.5637860082304389E-2</v>
      </c>
      <c r="K124" s="137">
        <v>45025</v>
      </c>
      <c r="L124">
        <v>24.56</v>
      </c>
      <c r="M124" s="134">
        <f t="shared" si="6"/>
        <v>3.7600337980566056E-2</v>
      </c>
      <c r="N124" s="135"/>
      <c r="O124" s="135"/>
      <c r="P124" s="137">
        <v>45025</v>
      </c>
      <c r="Q124" s="136">
        <v>4137.6400000000003</v>
      </c>
      <c r="R124" s="134">
        <f t="shared" si="7"/>
        <v>7.9463681053928426E-3</v>
      </c>
    </row>
    <row r="125" spans="2:18">
      <c r="B125" s="137">
        <v>45018</v>
      </c>
      <c r="C125">
        <v>34.590000000000003</v>
      </c>
      <c r="D125" s="134">
        <f t="shared" si="4"/>
        <v>-5.6979280261722942E-2</v>
      </c>
      <c r="F125" s="137">
        <v>45018</v>
      </c>
      <c r="G125">
        <v>12.15</v>
      </c>
      <c r="H125" s="134">
        <f t="shared" si="5"/>
        <v>-2.1739130434782594E-2</v>
      </c>
      <c r="K125" s="137">
        <v>45018</v>
      </c>
      <c r="L125">
        <v>23.67</v>
      </c>
      <c r="M125" s="134">
        <f t="shared" si="6"/>
        <v>-5.1302605210420738E-2</v>
      </c>
      <c r="N125" s="135"/>
      <c r="O125" s="135"/>
      <c r="P125" s="137">
        <v>45018</v>
      </c>
      <c r="Q125" s="136">
        <v>4105.0200000000004</v>
      </c>
      <c r="R125" s="134">
        <f t="shared" si="7"/>
        <v>-1.0439708856231356E-3</v>
      </c>
    </row>
    <row r="126" spans="2:18">
      <c r="B126" s="137">
        <v>45011</v>
      </c>
      <c r="C126">
        <v>36.68</v>
      </c>
      <c r="D126" s="134">
        <f t="shared" si="4"/>
        <v>8.8104420053396693E-2</v>
      </c>
      <c r="F126" s="137">
        <v>45011</v>
      </c>
      <c r="G126">
        <v>12.42</v>
      </c>
      <c r="H126" s="134">
        <f t="shared" si="5"/>
        <v>9.4273127753303987E-2</v>
      </c>
      <c r="K126" s="137">
        <v>45011</v>
      </c>
      <c r="L126">
        <v>24.95</v>
      </c>
      <c r="M126" s="134">
        <f t="shared" si="6"/>
        <v>6.715141146278869E-2</v>
      </c>
      <c r="N126" s="135"/>
      <c r="O126" s="135"/>
      <c r="P126" s="137">
        <v>45011</v>
      </c>
      <c r="Q126" s="136">
        <v>4109.3100000000004</v>
      </c>
      <c r="R126" s="134">
        <f t="shared" si="7"/>
        <v>3.4832623602678581E-2</v>
      </c>
    </row>
    <row r="127" spans="2:18">
      <c r="B127" s="137">
        <v>45004</v>
      </c>
      <c r="C127">
        <v>33.71</v>
      </c>
      <c r="D127" s="134">
        <f t="shared" si="4"/>
        <v>9.8861593768724276E-3</v>
      </c>
      <c r="F127" s="137">
        <v>45004</v>
      </c>
      <c r="G127">
        <v>11.35</v>
      </c>
      <c r="H127" s="134">
        <f t="shared" si="5"/>
        <v>1.8850987432674993E-2</v>
      </c>
      <c r="K127" s="137">
        <v>45004</v>
      </c>
      <c r="L127">
        <v>23.38</v>
      </c>
      <c r="M127" s="134">
        <f t="shared" si="6"/>
        <v>3.497122620628601E-2</v>
      </c>
      <c r="N127" s="135"/>
      <c r="O127" s="135"/>
      <c r="P127" s="137">
        <v>45004</v>
      </c>
      <c r="Q127" s="136">
        <v>3970.99</v>
      </c>
      <c r="R127" s="134">
        <f t="shared" si="7"/>
        <v>1.3876690224273736E-2</v>
      </c>
    </row>
    <row r="128" spans="2:18">
      <c r="B128" s="137">
        <v>44997</v>
      </c>
      <c r="C128">
        <v>33.380000000000003</v>
      </c>
      <c r="D128" s="134">
        <f t="shared" si="4"/>
        <v>-8.5980284775465488E-2</v>
      </c>
      <c r="F128" s="137">
        <v>44997</v>
      </c>
      <c r="G128">
        <v>11.14</v>
      </c>
      <c r="H128" s="134">
        <f t="shared" si="5"/>
        <v>-6.6219614417434958E-2</v>
      </c>
      <c r="K128" s="137">
        <v>44997</v>
      </c>
      <c r="L128">
        <v>22.59</v>
      </c>
      <c r="M128" s="134">
        <f t="shared" si="6"/>
        <v>5.7089377632194571E-2</v>
      </c>
      <c r="N128" s="135"/>
      <c r="O128" s="135"/>
      <c r="P128" s="137">
        <v>44997</v>
      </c>
      <c r="Q128" s="136">
        <v>3916.64</v>
      </c>
      <c r="R128" s="134">
        <f t="shared" si="7"/>
        <v>1.4255785829153211E-2</v>
      </c>
    </row>
    <row r="129" spans="2:18">
      <c r="B129" s="137">
        <v>44990</v>
      </c>
      <c r="C129">
        <v>36.520000000000003</v>
      </c>
      <c r="D129" s="134">
        <f t="shared" si="4"/>
        <v>-0.10948549134357466</v>
      </c>
      <c r="F129" s="137">
        <v>44990</v>
      </c>
      <c r="G129">
        <v>11.93</v>
      </c>
      <c r="H129" s="134">
        <f t="shared" si="5"/>
        <v>-7.4476338246702967E-2</v>
      </c>
      <c r="K129" s="137">
        <v>44990</v>
      </c>
      <c r="L129">
        <v>21.37</v>
      </c>
      <c r="M129" s="134">
        <f t="shared" si="6"/>
        <v>-0.14860557768924298</v>
      </c>
      <c r="N129" s="135"/>
      <c r="O129" s="135"/>
      <c r="P129" s="137">
        <v>44990</v>
      </c>
      <c r="Q129" s="136">
        <v>3861.59</v>
      </c>
      <c r="R129" s="134">
        <f t="shared" si="7"/>
        <v>-4.5493420076922253E-2</v>
      </c>
    </row>
    <row r="130" spans="2:18">
      <c r="B130" s="137">
        <v>44983</v>
      </c>
      <c r="C130">
        <v>41.01</v>
      </c>
      <c r="D130" s="134">
        <f t="shared" si="4"/>
        <v>4.6707503828483876E-2</v>
      </c>
      <c r="F130" s="137">
        <v>44983</v>
      </c>
      <c r="G130">
        <v>12.89</v>
      </c>
      <c r="H130" s="134">
        <f t="shared" si="5"/>
        <v>0.10076857386848848</v>
      </c>
      <c r="K130" s="137">
        <v>44983</v>
      </c>
      <c r="L130">
        <v>25.1</v>
      </c>
      <c r="M130" s="134">
        <f t="shared" si="6"/>
        <v>8.0499354283254387E-2</v>
      </c>
      <c r="N130" s="135"/>
      <c r="O130" s="135"/>
      <c r="P130" s="137">
        <v>44983</v>
      </c>
      <c r="Q130" s="136">
        <v>4045.64</v>
      </c>
      <c r="R130" s="134">
        <f t="shared" si="7"/>
        <v>1.9042629293407609E-2</v>
      </c>
    </row>
    <row r="131" spans="2:18">
      <c r="B131" s="137">
        <v>44976</v>
      </c>
      <c r="C131">
        <v>39.18</v>
      </c>
      <c r="D131" s="134">
        <f t="shared" si="4"/>
        <v>-9.2425295343988911E-2</v>
      </c>
      <c r="F131" s="137">
        <v>44976</v>
      </c>
      <c r="G131">
        <v>11.71</v>
      </c>
      <c r="H131" s="134">
        <f t="shared" si="5"/>
        <v>-7.867820613690002E-2</v>
      </c>
      <c r="K131" s="137">
        <v>44976</v>
      </c>
      <c r="L131">
        <v>23.23</v>
      </c>
      <c r="M131" s="134">
        <f t="shared" si="6"/>
        <v>-3.3693843594009953E-2</v>
      </c>
      <c r="N131" s="135"/>
      <c r="O131" s="135"/>
      <c r="P131" s="137">
        <v>44976</v>
      </c>
      <c r="Q131" s="136">
        <v>3970.04</v>
      </c>
      <c r="R131" s="134">
        <f t="shared" si="7"/>
        <v>-2.6733903885425514E-2</v>
      </c>
    </row>
    <row r="132" spans="2:18">
      <c r="B132" s="137">
        <v>44969</v>
      </c>
      <c r="C132">
        <v>43.17</v>
      </c>
      <c r="D132" s="134">
        <f t="shared" si="4"/>
        <v>4.4014510278113761E-2</v>
      </c>
      <c r="F132" s="137">
        <v>44969</v>
      </c>
      <c r="G132">
        <v>12.71</v>
      </c>
      <c r="H132" s="134">
        <f t="shared" si="5"/>
        <v>1.2749003984063645E-2</v>
      </c>
      <c r="K132" s="137">
        <v>44969</v>
      </c>
      <c r="L132">
        <v>24.04</v>
      </c>
      <c r="M132" s="134">
        <f t="shared" si="6"/>
        <v>7.9664570230606468E-3</v>
      </c>
      <c r="N132" s="135"/>
      <c r="O132" s="135"/>
      <c r="P132" s="137">
        <v>44969</v>
      </c>
      <c r="Q132" s="136">
        <v>4079.09</v>
      </c>
      <c r="R132" s="134">
        <f t="shared" si="7"/>
        <v>-2.7796384758682624E-3</v>
      </c>
    </row>
    <row r="133" spans="2:18">
      <c r="B133" s="137">
        <v>44962</v>
      </c>
      <c r="C133">
        <v>41.35</v>
      </c>
      <c r="D133" s="134">
        <f t="shared" si="4"/>
        <v>5.34889375151959E-3</v>
      </c>
      <c r="F133" s="137">
        <v>44962</v>
      </c>
      <c r="G133">
        <v>12.55</v>
      </c>
      <c r="H133" s="134">
        <f t="shared" si="5"/>
        <v>1.1281224818694646E-2</v>
      </c>
      <c r="K133" s="137">
        <v>44962</v>
      </c>
      <c r="L133">
        <v>23.85</v>
      </c>
      <c r="M133" s="134">
        <f t="shared" si="6"/>
        <v>-4.9043062200956777E-2</v>
      </c>
      <c r="N133" s="135"/>
      <c r="O133" s="135"/>
      <c r="P133" s="137">
        <v>44962</v>
      </c>
      <c r="Q133" s="136">
        <v>4090.46</v>
      </c>
      <c r="R133" s="134">
        <f t="shared" si="7"/>
        <v>-1.1125401307391702E-2</v>
      </c>
    </row>
    <row r="134" spans="2:18">
      <c r="B134" s="137">
        <v>44955</v>
      </c>
      <c r="C134">
        <v>41.13</v>
      </c>
      <c r="D134" s="134">
        <f t="shared" si="4"/>
        <v>8.3794466403162016E-2</v>
      </c>
      <c r="F134" s="137">
        <v>44955</v>
      </c>
      <c r="G134">
        <v>12.41</v>
      </c>
      <c r="H134" s="134">
        <f t="shared" si="5"/>
        <v>-3.2128514056224411E-3</v>
      </c>
      <c r="K134" s="137">
        <v>44955</v>
      </c>
      <c r="L134">
        <v>25.08</v>
      </c>
      <c r="M134" s="134">
        <f t="shared" si="6"/>
        <v>4.405286343612369E-3</v>
      </c>
      <c r="N134" s="135"/>
      <c r="O134" s="135"/>
      <c r="P134" s="137">
        <v>44955</v>
      </c>
      <c r="Q134" s="136">
        <v>4136.4799999999996</v>
      </c>
      <c r="R134" s="134">
        <f t="shared" si="7"/>
        <v>1.6194331983805599E-2</v>
      </c>
    </row>
    <row r="135" spans="2:18">
      <c r="B135" s="137">
        <v>44948</v>
      </c>
      <c r="C135">
        <v>37.950000000000003</v>
      </c>
      <c r="D135" s="134">
        <f t="shared" si="4"/>
        <v>7.3550212164073647E-2</v>
      </c>
      <c r="F135" s="137">
        <v>44948</v>
      </c>
      <c r="G135">
        <v>12.45</v>
      </c>
      <c r="H135" s="134">
        <f t="shared" si="5"/>
        <v>7.0507308684436776E-2</v>
      </c>
      <c r="K135" s="137">
        <v>44948</v>
      </c>
      <c r="L135">
        <v>24.97</v>
      </c>
      <c r="M135" s="134">
        <f t="shared" si="6"/>
        <v>0.13191296464188573</v>
      </c>
      <c r="N135" s="135"/>
      <c r="O135" s="135"/>
      <c r="P135" s="137">
        <v>44948</v>
      </c>
      <c r="Q135" s="136">
        <v>4070.56</v>
      </c>
      <c r="R135" s="134">
        <f t="shared" si="7"/>
        <v>2.4656334248768452E-2</v>
      </c>
    </row>
    <row r="136" spans="2:18">
      <c r="B136" s="137">
        <v>44941</v>
      </c>
      <c r="C136">
        <v>35.35</v>
      </c>
      <c r="D136" s="134">
        <f t="shared" si="4"/>
        <v>-3.1772117228156538E-2</v>
      </c>
      <c r="F136" s="137">
        <v>44941</v>
      </c>
      <c r="G136">
        <v>11.63</v>
      </c>
      <c r="H136" s="134">
        <f t="shared" si="5"/>
        <v>-2.5146689019279078E-2</v>
      </c>
      <c r="K136" s="137">
        <v>44941</v>
      </c>
      <c r="L136">
        <v>22.06</v>
      </c>
      <c r="M136" s="134">
        <f t="shared" si="6"/>
        <v>-1.9119608714984415E-2</v>
      </c>
      <c r="N136" s="135"/>
      <c r="O136" s="135"/>
      <c r="P136" s="137">
        <v>44941</v>
      </c>
      <c r="Q136" s="136">
        <v>3972.61</v>
      </c>
      <c r="R136" s="134">
        <f t="shared" si="7"/>
        <v>-6.6215063927043127E-3</v>
      </c>
    </row>
    <row r="137" spans="2:18">
      <c r="B137" s="137">
        <v>44934</v>
      </c>
      <c r="C137">
        <v>36.51</v>
      </c>
      <c r="D137" s="134">
        <f t="shared" si="4"/>
        <v>1.6708437761069339E-2</v>
      </c>
      <c r="F137" s="137">
        <v>44934</v>
      </c>
      <c r="G137">
        <v>11.93</v>
      </c>
      <c r="H137" s="134">
        <f t="shared" si="5"/>
        <v>1.1016949152542255E-2</v>
      </c>
      <c r="K137" s="137">
        <v>44934</v>
      </c>
      <c r="L137">
        <v>22.49</v>
      </c>
      <c r="M137" s="134">
        <f t="shared" si="6"/>
        <v>7.4534161490683148E-2</v>
      </c>
      <c r="N137" s="135"/>
      <c r="O137" s="135"/>
      <c r="P137" s="137">
        <v>44934</v>
      </c>
      <c r="Q137" s="136">
        <v>3999.09</v>
      </c>
      <c r="R137" s="134">
        <f t="shared" si="7"/>
        <v>2.6702917526726155E-2</v>
      </c>
    </row>
    <row r="138" spans="2:18">
      <c r="B138" s="137">
        <v>44927</v>
      </c>
      <c r="C138">
        <v>35.909999999999997</v>
      </c>
      <c r="D138" s="134">
        <f t="shared" si="4"/>
        <v>6.7479191438763353E-2</v>
      </c>
      <c r="F138" s="137">
        <v>44927</v>
      </c>
      <c r="G138">
        <v>11.8</v>
      </c>
      <c r="H138" s="134">
        <f t="shared" si="5"/>
        <v>8.1576535288725882E-2</v>
      </c>
      <c r="K138" s="137">
        <v>44927</v>
      </c>
      <c r="L138">
        <v>20.93</v>
      </c>
      <c r="M138" s="134">
        <f t="shared" si="6"/>
        <v>2.5980392156862875E-2</v>
      </c>
      <c r="N138" s="135"/>
      <c r="O138" s="135"/>
      <c r="P138" s="137">
        <v>44927</v>
      </c>
      <c r="Q138" s="136">
        <v>3895.08</v>
      </c>
      <c r="R138" s="134">
        <f t="shared" si="7"/>
        <v>1.447584320875106E-2</v>
      </c>
    </row>
    <row r="139" spans="2:18">
      <c r="B139" s="137">
        <v>44920</v>
      </c>
      <c r="C139">
        <v>33.64</v>
      </c>
      <c r="D139" s="134">
        <f t="shared" si="4"/>
        <v>-5.6163168785101636E-3</v>
      </c>
      <c r="F139" s="137">
        <v>44920</v>
      </c>
      <c r="G139">
        <v>10.91</v>
      </c>
      <c r="H139" s="134">
        <f t="shared" si="5"/>
        <v>2.3452157598499168E-2</v>
      </c>
      <c r="K139" s="137">
        <v>44920</v>
      </c>
      <c r="L139">
        <v>20.399999999999999</v>
      </c>
      <c r="M139" s="134">
        <f t="shared" si="6"/>
        <v>8.6840703249866813E-2</v>
      </c>
      <c r="N139" s="135"/>
      <c r="O139" s="135"/>
      <c r="P139" s="137">
        <v>44920</v>
      </c>
      <c r="Q139" s="136">
        <v>3839.5</v>
      </c>
      <c r="R139" s="134">
        <f t="shared" si="7"/>
        <v>-1.3836798601755129E-3</v>
      </c>
    </row>
    <row r="140" spans="2:18">
      <c r="B140" s="137">
        <v>44913</v>
      </c>
      <c r="C140">
        <v>33.83</v>
      </c>
      <c r="D140" s="134">
        <f t="shared" si="4"/>
        <v>-6.4177040110650063E-2</v>
      </c>
      <c r="F140" s="137">
        <v>44913</v>
      </c>
      <c r="G140">
        <v>10.66</v>
      </c>
      <c r="H140" s="134">
        <f t="shared" si="5"/>
        <v>-6.2445030782761535E-2</v>
      </c>
      <c r="K140" s="137">
        <v>44913</v>
      </c>
      <c r="L140">
        <v>18.77</v>
      </c>
      <c r="M140" s="134">
        <f t="shared" si="6"/>
        <v>-8.2151589242053791E-2</v>
      </c>
      <c r="N140" s="135"/>
      <c r="O140" s="135"/>
      <c r="P140" s="137">
        <v>44913</v>
      </c>
      <c r="Q140" s="136">
        <v>3844.82</v>
      </c>
      <c r="R140" s="134">
        <f t="shared" si="7"/>
        <v>-1.9572417946401854E-3</v>
      </c>
    </row>
    <row r="141" spans="2:18">
      <c r="B141" s="137">
        <v>44906</v>
      </c>
      <c r="C141">
        <v>36.15</v>
      </c>
      <c r="D141" s="134">
        <f t="shared" si="4"/>
        <v>-5.5642633228840221E-2</v>
      </c>
      <c r="F141" s="137">
        <v>44906</v>
      </c>
      <c r="G141">
        <v>11.37</v>
      </c>
      <c r="H141" s="134">
        <f t="shared" si="5"/>
        <v>-8.0840743734842402E-2</v>
      </c>
      <c r="K141" s="137">
        <v>44906</v>
      </c>
      <c r="L141">
        <v>20.45</v>
      </c>
      <c r="M141" s="134">
        <f t="shared" si="6"/>
        <v>-3.1723484848484973E-2</v>
      </c>
      <c r="N141" s="135"/>
      <c r="O141" s="135"/>
      <c r="P141" s="137">
        <v>44906</v>
      </c>
      <c r="Q141" s="136">
        <v>3852.36</v>
      </c>
      <c r="R141" s="134">
        <f t="shared" si="7"/>
        <v>-2.0846994952190667E-2</v>
      </c>
    </row>
    <row r="142" spans="2:18">
      <c r="B142" s="137">
        <v>44899</v>
      </c>
      <c r="C142">
        <v>38.28</v>
      </c>
      <c r="D142" s="134">
        <f t="shared" si="4"/>
        <v>-4.0601503759398416E-2</v>
      </c>
      <c r="F142" s="137">
        <v>44899</v>
      </c>
      <c r="G142">
        <v>12.37</v>
      </c>
      <c r="H142" s="134">
        <f t="shared" si="5"/>
        <v>-4.8461538461538556E-2</v>
      </c>
      <c r="K142" s="137">
        <v>44899</v>
      </c>
      <c r="L142">
        <v>21.12</v>
      </c>
      <c r="M142" s="134">
        <f t="shared" si="6"/>
        <v>-7.2870939420544345E-2</v>
      </c>
      <c r="N142" s="135"/>
      <c r="O142" s="135"/>
      <c r="P142" s="137">
        <v>44899</v>
      </c>
      <c r="Q142" s="136">
        <v>3934.38</v>
      </c>
      <c r="R142" s="134">
        <f t="shared" si="7"/>
        <v>-3.3725470933516632E-2</v>
      </c>
    </row>
    <row r="143" spans="2:18">
      <c r="B143" s="137">
        <v>44892</v>
      </c>
      <c r="C143">
        <v>39.9</v>
      </c>
      <c r="D143" s="134">
        <f t="shared" si="4"/>
        <v>-1.3840830449827091E-2</v>
      </c>
      <c r="F143" s="137">
        <v>44892</v>
      </c>
      <c r="G143">
        <v>13</v>
      </c>
      <c r="H143" s="134">
        <f t="shared" si="5"/>
        <v>-1.5897047691143085E-2</v>
      </c>
      <c r="K143" s="137">
        <v>44892</v>
      </c>
      <c r="L143">
        <v>22.78</v>
      </c>
      <c r="M143" s="134">
        <f t="shared" si="6"/>
        <v>0.35514574657941722</v>
      </c>
      <c r="N143" s="135"/>
      <c r="O143" s="135"/>
      <c r="P143" s="137">
        <v>44892</v>
      </c>
      <c r="Q143" s="136">
        <v>4071.7</v>
      </c>
      <c r="R143" s="134">
        <f t="shared" si="7"/>
        <v>1.1321073390758274E-2</v>
      </c>
    </row>
    <row r="144" spans="2:18">
      <c r="B144" s="137">
        <v>44885</v>
      </c>
      <c r="C144">
        <v>40.46</v>
      </c>
      <c r="D144" s="134">
        <f t="shared" si="4"/>
        <v>1.7349761126477237E-2</v>
      </c>
      <c r="F144" s="137">
        <v>44885</v>
      </c>
      <c r="G144">
        <v>13.21</v>
      </c>
      <c r="H144" s="134">
        <f t="shared" si="5"/>
        <v>6.0929169840060471E-3</v>
      </c>
      <c r="K144" s="137">
        <v>44885</v>
      </c>
      <c r="L144">
        <v>16.809999999999999</v>
      </c>
      <c r="M144" s="134">
        <f t="shared" si="6"/>
        <v>-5.9843400447427308E-2</v>
      </c>
      <c r="N144" s="135"/>
      <c r="O144" s="135"/>
      <c r="P144" s="137">
        <v>44885</v>
      </c>
      <c r="Q144" s="136">
        <v>4026.12</v>
      </c>
      <c r="R144" s="134">
        <f t="shared" si="7"/>
        <v>1.5327815521493759E-2</v>
      </c>
    </row>
    <row r="145" spans="2:18">
      <c r="B145" s="137">
        <v>44878</v>
      </c>
      <c r="C145">
        <v>39.770000000000003</v>
      </c>
      <c r="D145" s="134">
        <f t="shared" si="4"/>
        <v>-3.2830739299610778E-2</v>
      </c>
      <c r="F145" s="137">
        <v>44878</v>
      </c>
      <c r="G145">
        <v>13.13</v>
      </c>
      <c r="H145" s="134">
        <f t="shared" si="5"/>
        <v>-3.4558823529411642E-2</v>
      </c>
      <c r="K145" s="137">
        <v>44878</v>
      </c>
      <c r="L145">
        <v>17.88</v>
      </c>
      <c r="M145" s="134">
        <f t="shared" si="6"/>
        <v>-5.7459146020031659E-2</v>
      </c>
      <c r="N145" s="135"/>
      <c r="O145" s="135"/>
      <c r="P145" s="137">
        <v>44878</v>
      </c>
      <c r="Q145" s="136">
        <v>3965.34</v>
      </c>
      <c r="R145" s="134">
        <f t="shared" si="7"/>
        <v>-6.9097129175818006E-3</v>
      </c>
    </row>
    <row r="146" spans="2:18">
      <c r="B146" s="137">
        <v>44871</v>
      </c>
      <c r="C146">
        <v>41.12</v>
      </c>
      <c r="D146" s="134">
        <f t="shared" si="4"/>
        <v>5.4358974358974299E-2</v>
      </c>
      <c r="F146" s="137">
        <v>44871</v>
      </c>
      <c r="G146">
        <v>13.6</v>
      </c>
      <c r="H146" s="134">
        <f t="shared" si="5"/>
        <v>7.3401736385161787E-2</v>
      </c>
      <c r="K146" s="137">
        <v>44871</v>
      </c>
      <c r="L146">
        <v>18.97</v>
      </c>
      <c r="M146" s="134">
        <f t="shared" si="6"/>
        <v>3.6045876570180324E-2</v>
      </c>
      <c r="N146" s="135"/>
      <c r="O146" s="135"/>
      <c r="P146" s="137">
        <v>44871</v>
      </c>
      <c r="Q146" s="136">
        <v>3992.93</v>
      </c>
      <c r="R146" s="134">
        <f t="shared" si="7"/>
        <v>5.8978133163596791E-2</v>
      </c>
    </row>
    <row r="147" spans="2:18">
      <c r="B147" s="137">
        <v>44864</v>
      </c>
      <c r="C147">
        <v>39</v>
      </c>
      <c r="D147" s="134">
        <f t="shared" si="4"/>
        <v>3.8610038610038533E-3</v>
      </c>
      <c r="F147" s="137">
        <v>44864</v>
      </c>
      <c r="G147">
        <v>12.67</v>
      </c>
      <c r="H147" s="134">
        <f t="shared" si="5"/>
        <v>1.8488745980707488E-2</v>
      </c>
      <c r="K147" s="137">
        <v>44864</v>
      </c>
      <c r="L147">
        <v>18.309999999999999</v>
      </c>
      <c r="M147" s="134">
        <f t="shared" si="6"/>
        <v>0.28401122019635339</v>
      </c>
      <c r="N147" s="135"/>
      <c r="O147" s="135"/>
      <c r="P147" s="137">
        <v>44864</v>
      </c>
      <c r="Q147" s="136">
        <v>3770.55</v>
      </c>
      <c r="R147" s="134">
        <f t="shared" si="7"/>
        <v>-3.3455009664040025E-2</v>
      </c>
    </row>
    <row r="148" spans="2:18">
      <c r="B148" s="137">
        <v>44857</v>
      </c>
      <c r="C148">
        <v>38.85</v>
      </c>
      <c r="D148" s="134">
        <f t="shared" si="4"/>
        <v>0.1100000000000001</v>
      </c>
      <c r="F148" s="137">
        <v>44857</v>
      </c>
      <c r="G148">
        <v>12.44</v>
      </c>
      <c r="H148" s="134">
        <f t="shared" si="5"/>
        <v>8.7412587412587506E-2</v>
      </c>
      <c r="K148" s="137">
        <v>44857</v>
      </c>
      <c r="L148">
        <v>14.26</v>
      </c>
      <c r="M148" s="134">
        <f t="shared" si="6"/>
        <v>-0.19752391671356218</v>
      </c>
      <c r="N148" s="135"/>
      <c r="O148" s="135"/>
      <c r="P148" s="137">
        <v>44857</v>
      </c>
      <c r="Q148" s="136">
        <v>3901.06</v>
      </c>
      <c r="R148" s="134">
        <f t="shared" si="7"/>
        <v>3.9520351742055704E-2</v>
      </c>
    </row>
    <row r="149" spans="2:18">
      <c r="B149" s="137">
        <v>44850</v>
      </c>
      <c r="C149">
        <v>35</v>
      </c>
      <c r="D149" s="134">
        <f t="shared" si="4"/>
        <v>6.4153238066281482E-2</v>
      </c>
      <c r="F149" s="137">
        <v>44850</v>
      </c>
      <c r="G149">
        <v>11.44</v>
      </c>
      <c r="H149" s="134">
        <f t="shared" si="5"/>
        <v>4.474885844748866E-2</v>
      </c>
      <c r="K149" s="137">
        <v>44850</v>
      </c>
      <c r="L149">
        <v>17.77</v>
      </c>
      <c r="M149" s="134">
        <f t="shared" si="6"/>
        <v>-5.0747863247863179E-2</v>
      </c>
      <c r="N149" s="135"/>
      <c r="O149" s="135"/>
      <c r="P149" s="137">
        <v>44850</v>
      </c>
      <c r="Q149" s="136">
        <v>3752.75</v>
      </c>
      <c r="R149" s="134">
        <f t="shared" si="7"/>
        <v>4.7356038257695188E-2</v>
      </c>
    </row>
    <row r="150" spans="2:18">
      <c r="B150" s="137">
        <v>44843</v>
      </c>
      <c r="C150">
        <v>32.89</v>
      </c>
      <c r="D150" s="134">
        <f t="shared" ref="D150:D213" si="8">C150/C151-1</f>
        <v>-2.1713265913146818E-2</v>
      </c>
      <c r="F150" s="137">
        <v>44843</v>
      </c>
      <c r="G150">
        <v>10.95</v>
      </c>
      <c r="H150" s="134">
        <f t="shared" ref="H150:H213" si="9">G150/G151-1</f>
        <v>-4.3668122270742349E-2</v>
      </c>
      <c r="K150" s="137">
        <v>44843</v>
      </c>
      <c r="L150">
        <v>18.72</v>
      </c>
      <c r="M150" s="134">
        <f t="shared" ref="M150:M213" si="10">L150/L151-1</f>
        <v>-4.343382728666334E-2</v>
      </c>
      <c r="N150" s="135"/>
      <c r="O150" s="135"/>
      <c r="P150" s="137">
        <v>44843</v>
      </c>
      <c r="Q150" s="136">
        <v>3583.07</v>
      </c>
      <c r="R150" s="134">
        <f t="shared" ref="R150:R213" si="11">Q150/Q151-1</f>
        <v>-1.554815559695133E-2</v>
      </c>
    </row>
    <row r="151" spans="2:18">
      <c r="B151" s="137">
        <v>44836</v>
      </c>
      <c r="C151">
        <v>33.619999999999997</v>
      </c>
      <c r="D151" s="134">
        <f t="shared" si="8"/>
        <v>4.7678404487379034E-2</v>
      </c>
      <c r="F151" s="137">
        <v>44836</v>
      </c>
      <c r="G151">
        <v>11.45</v>
      </c>
      <c r="H151" s="134">
        <f t="shared" si="9"/>
        <v>8.9438629876308129E-2</v>
      </c>
      <c r="K151" s="137">
        <v>44836</v>
      </c>
      <c r="L151">
        <v>19.57</v>
      </c>
      <c r="M151" s="134">
        <f t="shared" si="10"/>
        <v>-0.1495002172968275</v>
      </c>
      <c r="N151" s="135"/>
      <c r="O151" s="135"/>
      <c r="P151" s="137">
        <v>44836</v>
      </c>
      <c r="Q151" s="136">
        <v>3639.66</v>
      </c>
      <c r="R151" s="134">
        <f t="shared" si="11"/>
        <v>1.5071312632124911E-2</v>
      </c>
    </row>
    <row r="152" spans="2:18">
      <c r="B152" s="137">
        <v>44829</v>
      </c>
      <c r="C152">
        <v>32.090000000000003</v>
      </c>
      <c r="D152" s="134">
        <f t="shared" si="8"/>
        <v>-9.5546786922209526E-2</v>
      </c>
      <c r="F152" s="137">
        <v>44829</v>
      </c>
      <c r="G152">
        <v>10.51</v>
      </c>
      <c r="H152" s="134">
        <f t="shared" si="9"/>
        <v>-9.0043290043290147E-2</v>
      </c>
      <c r="K152" s="137">
        <v>44829</v>
      </c>
      <c r="L152">
        <v>23.01</v>
      </c>
      <c r="M152" s="134">
        <f t="shared" si="10"/>
        <v>-7.9599999999999893E-2</v>
      </c>
      <c r="N152" s="135"/>
      <c r="O152" s="135"/>
      <c r="P152" s="137">
        <v>44829</v>
      </c>
      <c r="Q152" s="136">
        <v>3585.62</v>
      </c>
      <c r="R152" s="134">
        <f t="shared" si="11"/>
        <v>-2.9137096796029494E-2</v>
      </c>
    </row>
    <row r="153" spans="2:18">
      <c r="B153" s="137">
        <v>44822</v>
      </c>
      <c r="C153">
        <v>35.479999999999997</v>
      </c>
      <c r="D153" s="134">
        <f t="shared" si="8"/>
        <v>-0.11233425068801606</v>
      </c>
      <c r="F153" s="137">
        <v>44822</v>
      </c>
      <c r="G153">
        <v>11.55</v>
      </c>
      <c r="H153" s="134">
        <f t="shared" si="9"/>
        <v>-0.16364952932657495</v>
      </c>
      <c r="K153" s="137">
        <v>44822</v>
      </c>
      <c r="L153">
        <v>25</v>
      </c>
      <c r="M153" s="134">
        <f t="shared" si="10"/>
        <v>3.7775010377750107E-2</v>
      </c>
      <c r="N153" s="135"/>
      <c r="O153" s="135"/>
      <c r="P153" s="137">
        <v>44822</v>
      </c>
      <c r="Q153" s="136">
        <v>3693.23</v>
      </c>
      <c r="R153" s="134">
        <f t="shared" si="11"/>
        <v>-4.6497458259430524E-2</v>
      </c>
    </row>
    <row r="154" spans="2:18">
      <c r="B154" s="137">
        <v>44815</v>
      </c>
      <c r="C154">
        <v>39.97</v>
      </c>
      <c r="D154" s="134">
        <f t="shared" si="8"/>
        <v>-3.1968999757810646E-2</v>
      </c>
      <c r="F154" s="137">
        <v>44815</v>
      </c>
      <c r="G154">
        <v>13.81</v>
      </c>
      <c r="H154" s="134">
        <f t="shared" si="9"/>
        <v>-4.5611610228058042E-2</v>
      </c>
      <c r="K154" s="137">
        <v>44815</v>
      </c>
      <c r="L154">
        <v>24.09</v>
      </c>
      <c r="M154" s="134">
        <f t="shared" si="10"/>
        <v>-8.5074060007595875E-2</v>
      </c>
      <c r="N154" s="135"/>
      <c r="O154" s="135"/>
      <c r="P154" s="137">
        <v>44815</v>
      </c>
      <c r="Q154" s="136">
        <v>3873.33</v>
      </c>
      <c r="R154" s="134">
        <f t="shared" si="11"/>
        <v>-4.7704161913378784E-2</v>
      </c>
    </row>
    <row r="155" spans="2:18">
      <c r="B155" s="137">
        <v>44808</v>
      </c>
      <c r="C155">
        <v>41.29</v>
      </c>
      <c r="D155" s="134">
        <f t="shared" si="8"/>
        <v>7.3303873147907428E-2</v>
      </c>
      <c r="F155" s="137">
        <v>44808</v>
      </c>
      <c r="G155">
        <v>14.47</v>
      </c>
      <c r="H155" s="134">
        <f t="shared" si="9"/>
        <v>1.7580872011251802E-2</v>
      </c>
      <c r="K155" s="137">
        <v>44808</v>
      </c>
      <c r="L155">
        <v>26.33</v>
      </c>
      <c r="M155" s="134">
        <f t="shared" si="10"/>
        <v>-9.4055680963129884E-3</v>
      </c>
      <c r="N155" s="135"/>
      <c r="O155" s="135"/>
      <c r="P155" s="137">
        <v>44808</v>
      </c>
      <c r="Q155" s="136">
        <v>4067.36</v>
      </c>
      <c r="R155" s="134">
        <f t="shared" si="11"/>
        <v>3.646547374536846E-2</v>
      </c>
    </row>
    <row r="156" spans="2:18">
      <c r="B156" s="137">
        <v>44801</v>
      </c>
      <c r="C156">
        <v>38.47</v>
      </c>
      <c r="D156" s="134">
        <f t="shared" si="8"/>
        <v>-1.9372928880958429E-2</v>
      </c>
      <c r="F156" s="137">
        <v>44801</v>
      </c>
      <c r="G156">
        <v>14.22</v>
      </c>
      <c r="H156" s="134">
        <f t="shared" si="9"/>
        <v>-1.6597510373444035E-2</v>
      </c>
      <c r="K156" s="137">
        <v>44801</v>
      </c>
      <c r="L156">
        <v>26.58</v>
      </c>
      <c r="M156" s="134">
        <f t="shared" si="10"/>
        <v>-0.12277227722772288</v>
      </c>
      <c r="N156" s="135"/>
      <c r="O156" s="135"/>
      <c r="P156" s="137">
        <v>44801</v>
      </c>
      <c r="Q156" s="136">
        <v>3924.26</v>
      </c>
      <c r="R156" s="134">
        <f t="shared" si="11"/>
        <v>-3.2876091146128439E-2</v>
      </c>
    </row>
    <row r="157" spans="2:18">
      <c r="B157" s="137">
        <v>44794</v>
      </c>
      <c r="C157">
        <v>39.229999999999997</v>
      </c>
      <c r="D157" s="134">
        <f t="shared" si="8"/>
        <v>-1.1838790931990029E-2</v>
      </c>
      <c r="F157" s="137">
        <v>44794</v>
      </c>
      <c r="G157">
        <v>14.46</v>
      </c>
      <c r="H157" s="134">
        <f t="shared" si="9"/>
        <v>-2.9530201342281792E-2</v>
      </c>
      <c r="K157" s="137">
        <v>44794</v>
      </c>
      <c r="L157">
        <v>30.3</v>
      </c>
      <c r="M157" s="134">
        <f t="shared" si="10"/>
        <v>1.2024048096192397E-2</v>
      </c>
      <c r="N157" s="135"/>
      <c r="O157" s="135"/>
      <c r="P157" s="137">
        <v>44794</v>
      </c>
      <c r="Q157" s="136">
        <v>4057.66</v>
      </c>
      <c r="R157" s="134">
        <f t="shared" si="11"/>
        <v>-4.0397495080974677E-2</v>
      </c>
    </row>
    <row r="158" spans="2:18">
      <c r="B158" s="137">
        <v>44787</v>
      </c>
      <c r="C158">
        <v>39.700000000000003</v>
      </c>
      <c r="D158" s="134">
        <f t="shared" si="8"/>
        <v>5.572441742654588E-3</v>
      </c>
      <c r="F158" s="137">
        <v>44787</v>
      </c>
      <c r="G158">
        <v>14.9</v>
      </c>
      <c r="H158" s="134">
        <f t="shared" si="9"/>
        <v>-1.8445322793148811E-2</v>
      </c>
      <c r="K158" s="137">
        <v>44787</v>
      </c>
      <c r="L158">
        <v>29.94</v>
      </c>
      <c r="M158" s="134">
        <f t="shared" si="10"/>
        <v>-7.848568790397048E-2</v>
      </c>
      <c r="N158" s="135"/>
      <c r="O158" s="135"/>
      <c r="P158" s="137">
        <v>44787</v>
      </c>
      <c r="Q158" s="136">
        <v>4228.4799999999996</v>
      </c>
      <c r="R158" s="134">
        <f t="shared" si="11"/>
        <v>-1.2072006822190784E-2</v>
      </c>
    </row>
    <row r="159" spans="2:18">
      <c r="B159" s="137">
        <v>44780</v>
      </c>
      <c r="C159">
        <v>39.479999999999997</v>
      </c>
      <c r="D159" s="134">
        <f t="shared" si="8"/>
        <v>9.4841930116472462E-2</v>
      </c>
      <c r="F159" s="137">
        <v>44780</v>
      </c>
      <c r="G159">
        <v>15.18</v>
      </c>
      <c r="H159" s="134">
        <f t="shared" si="9"/>
        <v>5.7839721254355325E-2</v>
      </c>
      <c r="K159" s="137">
        <v>44780</v>
      </c>
      <c r="L159">
        <v>32.49</v>
      </c>
      <c r="M159" s="134">
        <f t="shared" si="10"/>
        <v>-3.3898305084745783E-2</v>
      </c>
      <c r="N159" s="135"/>
      <c r="O159" s="135"/>
      <c r="P159" s="137">
        <v>44780</v>
      </c>
      <c r="Q159" s="136">
        <v>4280.1499999999996</v>
      </c>
      <c r="R159" s="134">
        <f t="shared" si="11"/>
        <v>3.2558218079267842E-2</v>
      </c>
    </row>
    <row r="160" spans="2:18">
      <c r="B160" s="137">
        <v>44773</v>
      </c>
      <c r="C160">
        <v>36.06</v>
      </c>
      <c r="D160" s="134">
        <f t="shared" si="8"/>
        <v>-5.5157198014339492E-3</v>
      </c>
      <c r="F160" s="137">
        <v>44773</v>
      </c>
      <c r="G160">
        <v>14.35</v>
      </c>
      <c r="H160" s="134">
        <f t="shared" si="9"/>
        <v>4.136429608127723E-2</v>
      </c>
      <c r="K160" s="137">
        <v>44773</v>
      </c>
      <c r="L160">
        <v>33.630000000000003</v>
      </c>
      <c r="M160" s="134">
        <f t="shared" si="10"/>
        <v>2.405602923264305E-2</v>
      </c>
      <c r="N160" s="135"/>
      <c r="O160" s="135"/>
      <c r="P160" s="137">
        <v>44773</v>
      </c>
      <c r="Q160" s="136">
        <v>4145.1899999999996</v>
      </c>
      <c r="R160" s="134">
        <f t="shared" si="11"/>
        <v>3.6074948732411904E-3</v>
      </c>
    </row>
    <row r="161" spans="2:18">
      <c r="B161" s="137">
        <v>44766</v>
      </c>
      <c r="C161">
        <v>36.26</v>
      </c>
      <c r="D161" s="134">
        <f t="shared" si="8"/>
        <v>4.5860974906258845E-2</v>
      </c>
      <c r="F161" s="137">
        <v>44766</v>
      </c>
      <c r="G161">
        <v>13.78</v>
      </c>
      <c r="H161" s="134">
        <f t="shared" si="9"/>
        <v>0.14546965918536992</v>
      </c>
      <c r="K161" s="137">
        <v>44766</v>
      </c>
      <c r="L161">
        <v>32.840000000000003</v>
      </c>
      <c r="M161" s="134">
        <f t="shared" si="10"/>
        <v>-4.4237485448195502E-2</v>
      </c>
      <c r="N161" s="135"/>
      <c r="O161" s="135"/>
      <c r="P161" s="137">
        <v>44766</v>
      </c>
      <c r="Q161" s="136">
        <v>4130.29</v>
      </c>
      <c r="R161" s="134">
        <f t="shared" si="11"/>
        <v>4.2573385197506974E-2</v>
      </c>
    </row>
    <row r="162" spans="2:18">
      <c r="B162" s="137">
        <v>44759</v>
      </c>
      <c r="C162">
        <v>34.67</v>
      </c>
      <c r="D162" s="134">
        <f t="shared" si="8"/>
        <v>5.4761180407666643E-2</v>
      </c>
      <c r="F162" s="137">
        <v>44759</v>
      </c>
      <c r="G162">
        <v>12.03</v>
      </c>
      <c r="H162" s="134">
        <f t="shared" si="9"/>
        <v>7.8923766816143326E-2</v>
      </c>
      <c r="K162" s="137">
        <v>44759</v>
      </c>
      <c r="L162">
        <v>34.36</v>
      </c>
      <c r="M162" s="134">
        <f t="shared" si="10"/>
        <v>-0.10637191157347214</v>
      </c>
      <c r="N162" s="135"/>
      <c r="O162" s="135"/>
      <c r="P162" s="137">
        <v>44759</v>
      </c>
      <c r="Q162" s="136">
        <v>3961.63</v>
      </c>
      <c r="R162" s="134">
        <f t="shared" si="11"/>
        <v>2.5489495646051408E-2</v>
      </c>
    </row>
    <row r="163" spans="2:18">
      <c r="B163" s="137">
        <v>44752</v>
      </c>
      <c r="C163">
        <v>32.869999999999997</v>
      </c>
      <c r="D163" s="134">
        <f t="shared" si="8"/>
        <v>1.7332095326524133E-2</v>
      </c>
      <c r="F163" s="137">
        <v>44752</v>
      </c>
      <c r="G163">
        <v>11.15</v>
      </c>
      <c r="H163" s="134">
        <f t="shared" si="9"/>
        <v>2.2935779816513735E-2</v>
      </c>
      <c r="K163" s="137">
        <v>44752</v>
      </c>
      <c r="L163">
        <v>38.450000000000003</v>
      </c>
      <c r="M163" s="134">
        <f t="shared" si="10"/>
        <v>-1.1568123393316032E-2</v>
      </c>
      <c r="N163" s="135"/>
      <c r="O163" s="135"/>
      <c r="P163" s="137">
        <v>44752</v>
      </c>
      <c r="Q163" s="136">
        <v>3863.16</v>
      </c>
      <c r="R163" s="134">
        <f t="shared" si="11"/>
        <v>-9.2886561453360272E-3</v>
      </c>
    </row>
    <row r="164" spans="2:18">
      <c r="B164" s="137">
        <v>44745</v>
      </c>
      <c r="C164">
        <v>32.31</v>
      </c>
      <c r="D164" s="134">
        <f t="shared" si="8"/>
        <v>3.7278657968313755E-3</v>
      </c>
      <c r="F164" s="137">
        <v>44745</v>
      </c>
      <c r="G164">
        <v>10.9</v>
      </c>
      <c r="H164" s="134">
        <f t="shared" si="9"/>
        <v>2.6365348399246757E-2</v>
      </c>
      <c r="K164" s="137">
        <v>44745</v>
      </c>
      <c r="L164">
        <v>38.9</v>
      </c>
      <c r="M164" s="134">
        <f t="shared" si="10"/>
        <v>3.1830238726790361E-2</v>
      </c>
      <c r="N164" s="135"/>
      <c r="O164" s="135"/>
      <c r="P164" s="137">
        <v>44745</v>
      </c>
      <c r="Q164" s="136">
        <v>3899.38</v>
      </c>
      <c r="R164" s="134">
        <f t="shared" si="11"/>
        <v>1.9357807038869801E-2</v>
      </c>
    </row>
    <row r="165" spans="2:18">
      <c r="B165" s="137">
        <v>44738</v>
      </c>
      <c r="C165">
        <v>32.19</v>
      </c>
      <c r="D165" s="134">
        <f t="shared" si="8"/>
        <v>-7.5531303848363041E-2</v>
      </c>
      <c r="F165" s="137">
        <v>44738</v>
      </c>
      <c r="G165">
        <v>10.62</v>
      </c>
      <c r="H165" s="134">
        <f t="shared" si="9"/>
        <v>-5.7675244010647719E-2</v>
      </c>
      <c r="K165" s="137">
        <v>44738</v>
      </c>
      <c r="L165">
        <v>37.700000000000003</v>
      </c>
      <c r="M165" s="134">
        <f t="shared" si="10"/>
        <v>-7.5753861240499987E-2</v>
      </c>
      <c r="N165" s="135"/>
      <c r="O165" s="135"/>
      <c r="P165" s="137">
        <v>44738</v>
      </c>
      <c r="Q165" s="136">
        <v>3825.33</v>
      </c>
      <c r="R165" s="134">
        <f t="shared" si="11"/>
        <v>-2.2089913951336193E-2</v>
      </c>
    </row>
    <row r="166" spans="2:18">
      <c r="B166" s="137">
        <v>44731</v>
      </c>
      <c r="C166">
        <v>34.82</v>
      </c>
      <c r="D166" s="134">
        <f t="shared" si="8"/>
        <v>9.2220828105395336E-2</v>
      </c>
      <c r="F166" s="137">
        <v>44731</v>
      </c>
      <c r="G166">
        <v>11.27</v>
      </c>
      <c r="H166" s="134">
        <f t="shared" si="9"/>
        <v>6.9259962049335932E-2</v>
      </c>
      <c r="K166" s="137">
        <v>44731</v>
      </c>
      <c r="L166">
        <v>40.79</v>
      </c>
      <c r="M166" s="134">
        <f t="shared" si="10"/>
        <v>0.2304675716440423</v>
      </c>
      <c r="N166" s="135"/>
      <c r="O166" s="135"/>
      <c r="P166" s="137">
        <v>44731</v>
      </c>
      <c r="Q166" s="136">
        <v>3911.74</v>
      </c>
      <c r="R166" s="134">
        <f t="shared" si="11"/>
        <v>6.4465391690522456E-2</v>
      </c>
    </row>
    <row r="167" spans="2:18">
      <c r="B167" s="137">
        <v>44724</v>
      </c>
      <c r="C167">
        <v>31.88</v>
      </c>
      <c r="D167" s="134">
        <f t="shared" si="8"/>
        <v>-8.9403027706369542E-2</v>
      </c>
      <c r="F167" s="137">
        <v>44724</v>
      </c>
      <c r="G167">
        <v>10.54</v>
      </c>
      <c r="H167" s="134">
        <f t="shared" si="9"/>
        <v>-0.1187290969899667</v>
      </c>
      <c r="K167" s="137">
        <v>44724</v>
      </c>
      <c r="L167">
        <v>33.15</v>
      </c>
      <c r="M167" s="134">
        <f t="shared" si="10"/>
        <v>0.10758436351486789</v>
      </c>
      <c r="N167" s="135"/>
      <c r="O167" s="135"/>
      <c r="P167" s="137">
        <v>44724</v>
      </c>
      <c r="Q167" s="136">
        <v>3674.84</v>
      </c>
      <c r="R167" s="134">
        <f t="shared" si="11"/>
        <v>-5.7941069405208045E-2</v>
      </c>
    </row>
    <row r="168" spans="2:18">
      <c r="B168" s="137">
        <v>44717</v>
      </c>
      <c r="C168">
        <v>35.01</v>
      </c>
      <c r="D168" s="134">
        <f t="shared" si="8"/>
        <v>-6.9130550385535838E-2</v>
      </c>
      <c r="F168" s="137">
        <v>44717</v>
      </c>
      <c r="G168">
        <v>11.96</v>
      </c>
      <c r="H168" s="134">
        <f t="shared" si="9"/>
        <v>-5.6037884767166424E-2</v>
      </c>
      <c r="K168" s="137">
        <v>44717</v>
      </c>
      <c r="L168">
        <v>29.93</v>
      </c>
      <c r="M168" s="134">
        <f t="shared" si="10"/>
        <v>0.14193056085463551</v>
      </c>
      <c r="N168" s="135"/>
      <c r="O168" s="135"/>
      <c r="P168" s="137">
        <v>44717</v>
      </c>
      <c r="Q168" s="136">
        <v>3900.86</v>
      </c>
      <c r="R168" s="134">
        <f t="shared" si="11"/>
        <v>-5.054836998057699E-2</v>
      </c>
    </row>
    <row r="169" spans="2:18">
      <c r="B169" s="137">
        <v>44710</v>
      </c>
      <c r="C169">
        <v>37.61</v>
      </c>
      <c r="D169" s="134">
        <f t="shared" si="8"/>
        <v>-2.4889810733730866E-2</v>
      </c>
      <c r="F169" s="137">
        <v>44710</v>
      </c>
      <c r="G169">
        <v>12.67</v>
      </c>
      <c r="H169" s="134">
        <f t="shared" si="9"/>
        <v>-9.3823299452696629E-3</v>
      </c>
      <c r="K169" s="137">
        <v>44710</v>
      </c>
      <c r="L169">
        <v>26.21</v>
      </c>
      <c r="M169" s="134">
        <f t="shared" si="10"/>
        <v>7.9489291598022982E-2</v>
      </c>
      <c r="N169" s="135"/>
      <c r="O169" s="135"/>
      <c r="P169" s="137">
        <v>44710</v>
      </c>
      <c r="Q169" s="136">
        <v>4108.54</v>
      </c>
      <c r="R169" s="134">
        <f t="shared" si="11"/>
        <v>-1.1952172072799971E-2</v>
      </c>
    </row>
    <row r="170" spans="2:18">
      <c r="B170" s="137">
        <v>44703</v>
      </c>
      <c r="C170">
        <v>38.57</v>
      </c>
      <c r="D170" s="134">
        <f t="shared" si="8"/>
        <v>8.954802259887007E-2</v>
      </c>
      <c r="F170" s="137">
        <v>44703</v>
      </c>
      <c r="G170">
        <v>12.79</v>
      </c>
      <c r="H170" s="134">
        <f t="shared" si="9"/>
        <v>9.0366581415174618E-2</v>
      </c>
      <c r="K170" s="137">
        <v>44703</v>
      </c>
      <c r="L170">
        <v>24.28</v>
      </c>
      <c r="M170" s="134">
        <f t="shared" si="10"/>
        <v>1.1666666666666714E-2</v>
      </c>
      <c r="N170" s="135"/>
      <c r="O170" s="135"/>
      <c r="P170" s="137">
        <v>44703</v>
      </c>
      <c r="Q170" s="136">
        <v>4158.24</v>
      </c>
      <c r="R170" s="134">
        <f t="shared" si="11"/>
        <v>6.5843705784649265E-2</v>
      </c>
    </row>
    <row r="171" spans="2:18">
      <c r="B171" s="137">
        <v>44696</v>
      </c>
      <c r="C171">
        <v>35.4</v>
      </c>
      <c r="D171" s="134">
        <f t="shared" si="8"/>
        <v>-7.3540957864433487E-2</v>
      </c>
      <c r="F171" s="137">
        <v>44696</v>
      </c>
      <c r="G171">
        <v>11.73</v>
      </c>
      <c r="H171" s="134">
        <f t="shared" si="9"/>
        <v>-7.4191002367797854E-2</v>
      </c>
      <c r="K171" s="137">
        <v>44696</v>
      </c>
      <c r="L171">
        <v>24</v>
      </c>
      <c r="M171" s="134">
        <f t="shared" si="10"/>
        <v>9.9908340971585741E-2</v>
      </c>
      <c r="N171" s="135"/>
      <c r="O171" s="135"/>
      <c r="P171" s="137">
        <v>44696</v>
      </c>
      <c r="Q171" s="136">
        <v>3901.36</v>
      </c>
      <c r="R171" s="134">
        <f t="shared" si="11"/>
        <v>-3.0450633590878406E-2</v>
      </c>
    </row>
    <row r="172" spans="2:18">
      <c r="B172" s="137">
        <v>44689</v>
      </c>
      <c r="C172">
        <v>38.21</v>
      </c>
      <c r="D172" s="134">
        <f t="shared" si="8"/>
        <v>-3.4613441131884692E-2</v>
      </c>
      <c r="F172" s="137">
        <v>44689</v>
      </c>
      <c r="G172">
        <v>12.67</v>
      </c>
      <c r="H172" s="134">
        <f t="shared" si="9"/>
        <v>-4.951237809452369E-2</v>
      </c>
      <c r="K172" s="137">
        <v>44689</v>
      </c>
      <c r="L172">
        <v>21.82</v>
      </c>
      <c r="M172" s="134">
        <f t="shared" si="10"/>
        <v>4.3021032504779955E-2</v>
      </c>
      <c r="N172" s="135"/>
      <c r="O172" s="135"/>
      <c r="P172" s="137">
        <v>44689</v>
      </c>
      <c r="Q172" s="136">
        <v>4023.89</v>
      </c>
      <c r="R172" s="134">
        <f t="shared" si="11"/>
        <v>-2.4118796897660721E-2</v>
      </c>
    </row>
    <row r="173" spans="2:18">
      <c r="B173" s="137">
        <v>44682</v>
      </c>
      <c r="C173">
        <v>39.58</v>
      </c>
      <c r="D173" s="134">
        <f t="shared" si="8"/>
        <v>4.4051701398048149E-2</v>
      </c>
      <c r="F173" s="137">
        <v>44682</v>
      </c>
      <c r="G173">
        <v>13.33</v>
      </c>
      <c r="H173" s="134">
        <f t="shared" si="9"/>
        <v>3.7650602409640133E-3</v>
      </c>
      <c r="K173" s="137">
        <v>44682</v>
      </c>
      <c r="L173">
        <v>20.92</v>
      </c>
      <c r="M173" s="134">
        <f t="shared" si="10"/>
        <v>-6.7320552831029778E-2</v>
      </c>
      <c r="N173" s="135"/>
      <c r="O173" s="135"/>
      <c r="P173" s="137">
        <v>44682</v>
      </c>
      <c r="Q173" s="136">
        <v>4123.34</v>
      </c>
      <c r="R173" s="134">
        <f t="shared" si="11"/>
        <v>-2.0789316372736844E-3</v>
      </c>
    </row>
    <row r="174" spans="2:18">
      <c r="B174" s="137">
        <v>44675</v>
      </c>
      <c r="C174">
        <v>37.909999999999997</v>
      </c>
      <c r="D174" s="134">
        <f t="shared" si="8"/>
        <v>-4.8443775100401765E-2</v>
      </c>
      <c r="F174" s="137">
        <v>44675</v>
      </c>
      <c r="G174">
        <v>13.28</v>
      </c>
      <c r="H174" s="134">
        <f t="shared" si="9"/>
        <v>-6.4129668780831595E-2</v>
      </c>
      <c r="K174" s="137">
        <v>44675</v>
      </c>
      <c r="L174">
        <v>22.43</v>
      </c>
      <c r="M174" s="134">
        <f t="shared" si="10"/>
        <v>4.478280340349361E-3</v>
      </c>
      <c r="N174" s="135"/>
      <c r="O174" s="135"/>
      <c r="P174" s="137">
        <v>44675</v>
      </c>
      <c r="Q174" s="136">
        <v>4131.93</v>
      </c>
      <c r="R174" s="134">
        <f t="shared" si="11"/>
        <v>-3.2738109172288699E-2</v>
      </c>
    </row>
    <row r="175" spans="2:18">
      <c r="B175" s="137">
        <v>44668</v>
      </c>
      <c r="C175">
        <v>39.840000000000003</v>
      </c>
      <c r="D175" s="134">
        <f t="shared" si="8"/>
        <v>-7.2265138300523502E-3</v>
      </c>
      <c r="F175" s="137">
        <v>44668</v>
      </c>
      <c r="G175">
        <v>14.19</v>
      </c>
      <c r="H175" s="134">
        <f t="shared" si="9"/>
        <v>-2.2727272727272707E-2</v>
      </c>
      <c r="K175" s="137">
        <v>44668</v>
      </c>
      <c r="L175">
        <v>22.33</v>
      </c>
      <c r="M175" s="134">
        <f t="shared" si="10"/>
        <v>-0.13146635550369512</v>
      </c>
      <c r="N175" s="135"/>
      <c r="O175" s="135"/>
      <c r="P175" s="137">
        <v>44668</v>
      </c>
      <c r="Q175" s="136">
        <v>4271.78</v>
      </c>
      <c r="R175" s="134">
        <f t="shared" si="11"/>
        <v>-2.7503135963065195E-2</v>
      </c>
    </row>
    <row r="176" spans="2:18">
      <c r="B176" s="137">
        <v>44661</v>
      </c>
      <c r="C176">
        <v>40.130000000000003</v>
      </c>
      <c r="D176" s="134">
        <f t="shared" si="8"/>
        <v>1.9822109275730693E-2</v>
      </c>
      <c r="F176" s="137">
        <v>44661</v>
      </c>
      <c r="G176">
        <v>14.52</v>
      </c>
      <c r="H176" s="134">
        <f t="shared" si="9"/>
        <v>2.8328611898017053E-2</v>
      </c>
      <c r="K176" s="137">
        <v>44661</v>
      </c>
      <c r="L176">
        <v>25.71</v>
      </c>
      <c r="M176" s="134">
        <f t="shared" si="10"/>
        <v>-5.8004640371228655E-3</v>
      </c>
      <c r="N176" s="135"/>
      <c r="O176" s="135"/>
      <c r="P176" s="137">
        <v>44661</v>
      </c>
      <c r="Q176" s="136">
        <v>4392.59</v>
      </c>
      <c r="R176" s="134">
        <f t="shared" si="11"/>
        <v>-2.1319971124796E-2</v>
      </c>
    </row>
    <row r="177" spans="2:18">
      <c r="B177" s="137">
        <v>44654</v>
      </c>
      <c r="C177">
        <v>39.35</v>
      </c>
      <c r="D177" s="134">
        <f t="shared" si="8"/>
        <v>-8.4031657355679634E-2</v>
      </c>
      <c r="F177" s="137">
        <v>44654</v>
      </c>
      <c r="G177">
        <v>14.12</v>
      </c>
      <c r="H177" s="134">
        <f t="shared" si="9"/>
        <v>-9.6030729833546769E-2</v>
      </c>
      <c r="K177" s="137">
        <v>44654</v>
      </c>
      <c r="L177">
        <v>25.86</v>
      </c>
      <c r="M177" s="134">
        <f t="shared" si="10"/>
        <v>-5.06607929515418E-2</v>
      </c>
      <c r="N177" s="135"/>
      <c r="O177" s="135"/>
      <c r="P177" s="137">
        <v>44654</v>
      </c>
      <c r="Q177" s="136">
        <v>4488.28</v>
      </c>
      <c r="R177" s="134">
        <f t="shared" si="11"/>
        <v>-1.266647015086253E-2</v>
      </c>
    </row>
    <row r="178" spans="2:18">
      <c r="B178" s="137">
        <v>44647</v>
      </c>
      <c r="C178">
        <v>42.96</v>
      </c>
      <c r="D178" s="134">
        <f t="shared" si="8"/>
        <v>-1.5807560137456989E-2</v>
      </c>
      <c r="F178" s="137">
        <v>44647</v>
      </c>
      <c r="G178">
        <v>15.62</v>
      </c>
      <c r="H178" s="134">
        <f t="shared" si="9"/>
        <v>1.1003236245954673E-2</v>
      </c>
      <c r="K178" s="137">
        <v>44647</v>
      </c>
      <c r="L178">
        <v>27.24</v>
      </c>
      <c r="M178" s="134">
        <f t="shared" si="10"/>
        <v>3.1818181818181746E-2</v>
      </c>
      <c r="N178" s="135"/>
      <c r="O178" s="135"/>
      <c r="P178" s="137">
        <v>44647</v>
      </c>
      <c r="Q178" s="136">
        <v>4545.8599999999997</v>
      </c>
      <c r="R178" s="134">
        <f t="shared" si="11"/>
        <v>6.1632467984118477E-4</v>
      </c>
    </row>
    <row r="179" spans="2:18">
      <c r="B179" s="137">
        <v>44640</v>
      </c>
      <c r="C179">
        <v>43.65</v>
      </c>
      <c r="D179" s="134">
        <f t="shared" si="8"/>
        <v>-2.6104417670682722E-2</v>
      </c>
      <c r="F179" s="137">
        <v>44640</v>
      </c>
      <c r="G179">
        <v>15.45</v>
      </c>
      <c r="H179" s="134">
        <f t="shared" si="9"/>
        <v>-2.3388116308470375E-2</v>
      </c>
      <c r="K179" s="137">
        <v>44640</v>
      </c>
      <c r="L179">
        <v>26.4</v>
      </c>
      <c r="M179" s="134">
        <f t="shared" si="10"/>
        <v>-6.3497694217807821E-2</v>
      </c>
      <c r="N179" s="135"/>
      <c r="O179" s="135"/>
      <c r="P179" s="137">
        <v>44640</v>
      </c>
      <c r="Q179" s="136">
        <v>4543.0600000000004</v>
      </c>
      <c r="R179" s="134">
        <f t="shared" si="11"/>
        <v>1.7911236982200984E-2</v>
      </c>
    </row>
    <row r="180" spans="2:18">
      <c r="B180" s="137">
        <v>44633</v>
      </c>
      <c r="C180">
        <v>44.82</v>
      </c>
      <c r="D180" s="134">
        <f t="shared" si="8"/>
        <v>7.9739821729703841E-2</v>
      </c>
      <c r="F180" s="137">
        <v>44633</v>
      </c>
      <c r="G180">
        <v>15.82</v>
      </c>
      <c r="H180" s="134">
        <f t="shared" si="9"/>
        <v>5.1162790697674376E-2</v>
      </c>
      <c r="K180" s="137">
        <v>44633</v>
      </c>
      <c r="L180">
        <v>28.19</v>
      </c>
      <c r="M180" s="134">
        <f t="shared" si="10"/>
        <v>0.27153811456923771</v>
      </c>
      <c r="N180" s="135"/>
      <c r="O180" s="135"/>
      <c r="P180" s="137">
        <v>44633</v>
      </c>
      <c r="Q180" s="136">
        <v>4463.12</v>
      </c>
      <c r="R180" s="134">
        <f t="shared" si="11"/>
        <v>6.1558258073262762E-2</v>
      </c>
    </row>
    <row r="181" spans="2:18">
      <c r="B181" s="137">
        <v>44626</v>
      </c>
      <c r="C181">
        <v>41.51</v>
      </c>
      <c r="D181" s="134">
        <f t="shared" si="8"/>
        <v>-2.0990566037735858E-2</v>
      </c>
      <c r="F181" s="137">
        <v>44626</v>
      </c>
      <c r="G181">
        <v>15.05</v>
      </c>
      <c r="H181" s="134">
        <f t="shared" si="9"/>
        <v>-4.8070841239721718E-2</v>
      </c>
      <c r="K181" s="137">
        <v>44626</v>
      </c>
      <c r="L181">
        <v>22.17</v>
      </c>
      <c r="M181" s="134">
        <f t="shared" si="10"/>
        <v>-0.18582445831803152</v>
      </c>
      <c r="N181" s="135"/>
      <c r="O181" s="135"/>
      <c r="P181" s="137">
        <v>44626</v>
      </c>
      <c r="Q181" s="136">
        <v>4204.3100000000004</v>
      </c>
      <c r="R181" s="134">
        <f t="shared" si="11"/>
        <v>-2.8774252865066297E-2</v>
      </c>
    </row>
    <row r="182" spans="2:18">
      <c r="B182" s="137">
        <v>44619</v>
      </c>
      <c r="C182">
        <v>42.4</v>
      </c>
      <c r="D182" s="134">
        <f t="shared" si="8"/>
        <v>-0.10605102255956145</v>
      </c>
      <c r="F182" s="137">
        <v>44619</v>
      </c>
      <c r="G182">
        <v>15.81</v>
      </c>
      <c r="H182" s="134">
        <f t="shared" si="9"/>
        <v>-5.4991034070531963E-2</v>
      </c>
      <c r="K182" s="137">
        <v>44619</v>
      </c>
      <c r="L182">
        <v>27.23</v>
      </c>
      <c r="M182" s="134">
        <f t="shared" si="10"/>
        <v>-2.3664395840803154E-2</v>
      </c>
      <c r="N182" s="135"/>
      <c r="O182" s="135"/>
      <c r="P182" s="137">
        <v>44619</v>
      </c>
      <c r="Q182" s="136">
        <v>4328.87</v>
      </c>
      <c r="R182" s="134">
        <f t="shared" si="11"/>
        <v>-1.2721653951854761E-2</v>
      </c>
    </row>
    <row r="183" spans="2:18">
      <c r="B183" s="137">
        <v>44612</v>
      </c>
      <c r="C183">
        <v>47.43</v>
      </c>
      <c r="D183" s="134">
        <f t="shared" si="8"/>
        <v>-2.4074074074074137E-2</v>
      </c>
      <c r="F183" s="137">
        <v>44612</v>
      </c>
      <c r="G183">
        <v>16.73</v>
      </c>
      <c r="H183" s="134">
        <f t="shared" si="9"/>
        <v>-1.1229314420803882E-2</v>
      </c>
      <c r="K183" s="137">
        <v>44612</v>
      </c>
      <c r="L183">
        <v>27.89</v>
      </c>
      <c r="M183" s="134">
        <f t="shared" si="10"/>
        <v>-2.3117338003502685E-2</v>
      </c>
      <c r="N183" s="135"/>
      <c r="O183" s="135"/>
      <c r="P183" s="137">
        <v>44612</v>
      </c>
      <c r="Q183" s="136">
        <v>4384.6499999999996</v>
      </c>
      <c r="R183" s="134">
        <f t="shared" si="11"/>
        <v>8.2274245953546377E-3</v>
      </c>
    </row>
    <row r="184" spans="2:18">
      <c r="B184" s="137">
        <v>44605</v>
      </c>
      <c r="C184">
        <v>48.6</v>
      </c>
      <c r="D184" s="134">
        <f t="shared" si="8"/>
        <v>-4.7102191275854022E-3</v>
      </c>
      <c r="F184" s="137">
        <v>44605</v>
      </c>
      <c r="G184">
        <v>16.920000000000002</v>
      </c>
      <c r="H184" s="134">
        <f t="shared" si="9"/>
        <v>2.7946537059538423E-2</v>
      </c>
      <c r="K184" s="137">
        <v>44605</v>
      </c>
      <c r="L184">
        <v>28.55</v>
      </c>
      <c r="M184" s="134">
        <f t="shared" si="10"/>
        <v>1.4570007107320482E-2</v>
      </c>
      <c r="N184" s="135"/>
      <c r="O184" s="135"/>
      <c r="P184" s="137">
        <v>44605</v>
      </c>
      <c r="Q184" s="136">
        <v>4348.87</v>
      </c>
      <c r="R184" s="134">
        <f t="shared" si="11"/>
        <v>-1.5789926312168578E-2</v>
      </c>
    </row>
    <row r="185" spans="2:18">
      <c r="B185" s="137">
        <v>44598</v>
      </c>
      <c r="C185">
        <v>48.83</v>
      </c>
      <c r="D185" s="134">
        <f t="shared" si="8"/>
        <v>-4.7962565802300627E-2</v>
      </c>
      <c r="F185" s="137">
        <v>44598</v>
      </c>
      <c r="G185">
        <v>16.46</v>
      </c>
      <c r="H185" s="134">
        <f t="shared" si="9"/>
        <v>-2.314540059347181E-2</v>
      </c>
      <c r="K185" s="137">
        <v>44598</v>
      </c>
      <c r="L185">
        <v>28.14</v>
      </c>
      <c r="M185" s="134">
        <f t="shared" si="10"/>
        <v>-1.9512195121951126E-2</v>
      </c>
      <c r="N185" s="135"/>
      <c r="O185" s="135"/>
      <c r="P185" s="137">
        <v>44598</v>
      </c>
      <c r="Q185" s="136">
        <v>4418.6400000000003</v>
      </c>
      <c r="R185" s="134">
        <f t="shared" si="11"/>
        <v>-1.8195634736353106E-2</v>
      </c>
    </row>
    <row r="186" spans="2:18">
      <c r="B186" s="137">
        <v>44591</v>
      </c>
      <c r="C186">
        <v>51.29</v>
      </c>
      <c r="D186" s="134">
        <f t="shared" si="8"/>
        <v>2.0899681528662395E-2</v>
      </c>
      <c r="F186" s="137">
        <v>44591</v>
      </c>
      <c r="G186">
        <v>16.850000000000001</v>
      </c>
      <c r="H186" s="134">
        <f t="shared" si="9"/>
        <v>-8.0741953082378415E-2</v>
      </c>
      <c r="K186" s="137">
        <v>44591</v>
      </c>
      <c r="L186">
        <v>28.7</v>
      </c>
      <c r="M186" s="134">
        <f t="shared" si="10"/>
        <v>0.1973299958281185</v>
      </c>
      <c r="N186" s="135"/>
      <c r="O186" s="135"/>
      <c r="P186" s="137">
        <v>44591</v>
      </c>
      <c r="Q186" s="136">
        <v>4500.53</v>
      </c>
      <c r="R186" s="134">
        <f t="shared" si="11"/>
        <v>1.5496914381127436E-2</v>
      </c>
    </row>
    <row r="187" spans="2:18">
      <c r="B187" s="137">
        <v>44584</v>
      </c>
      <c r="C187">
        <v>50.24</v>
      </c>
      <c r="D187" s="134">
        <f t="shared" si="8"/>
        <v>-5.7057057057056992E-2</v>
      </c>
      <c r="F187" s="137">
        <v>44584</v>
      </c>
      <c r="G187">
        <v>18.329999999999998</v>
      </c>
      <c r="H187" s="134">
        <f t="shared" si="9"/>
        <v>-5.3691275167785379E-2</v>
      </c>
      <c r="K187" s="137">
        <v>44584</v>
      </c>
      <c r="L187">
        <v>23.97</v>
      </c>
      <c r="M187" s="134">
        <f t="shared" si="10"/>
        <v>-0.14086021505376345</v>
      </c>
      <c r="N187" s="135"/>
      <c r="O187" s="135"/>
      <c r="P187" s="137">
        <v>44584</v>
      </c>
      <c r="Q187" s="136">
        <v>4431.8500000000004</v>
      </c>
      <c r="R187" s="134">
        <f t="shared" si="11"/>
        <v>7.7104280640483136E-3</v>
      </c>
    </row>
    <row r="188" spans="2:18">
      <c r="B188" s="137">
        <v>44577</v>
      </c>
      <c r="C188">
        <v>53.28</v>
      </c>
      <c r="D188" s="134">
        <f t="shared" si="8"/>
        <v>-0.12798690671031099</v>
      </c>
      <c r="F188" s="137">
        <v>44577</v>
      </c>
      <c r="G188">
        <v>19.37</v>
      </c>
      <c r="H188" s="134">
        <f t="shared" si="9"/>
        <v>-0.18027930596699104</v>
      </c>
      <c r="K188" s="137">
        <v>44577</v>
      </c>
      <c r="L188">
        <v>27.9</v>
      </c>
      <c r="M188" s="134">
        <f t="shared" si="10"/>
        <v>-0.10375843238034055</v>
      </c>
      <c r="N188" s="135"/>
      <c r="O188" s="135"/>
      <c r="P188" s="137">
        <v>44577</v>
      </c>
      <c r="Q188" s="136">
        <v>4397.9399999999996</v>
      </c>
      <c r="R188" s="134">
        <f t="shared" si="11"/>
        <v>-5.6812893402104048E-2</v>
      </c>
    </row>
    <row r="189" spans="2:18">
      <c r="B189" s="137">
        <v>44570</v>
      </c>
      <c r="C189">
        <v>61.1</v>
      </c>
      <c r="D189" s="134">
        <f t="shared" si="8"/>
        <v>-1.8789144050104456E-2</v>
      </c>
      <c r="F189" s="137">
        <v>44570</v>
      </c>
      <c r="G189">
        <v>23.63</v>
      </c>
      <c r="H189" s="134">
        <f t="shared" si="9"/>
        <v>3.0527692978630672E-2</v>
      </c>
      <c r="K189" s="137">
        <v>44570</v>
      </c>
      <c r="L189">
        <v>31.13</v>
      </c>
      <c r="M189" s="134">
        <f t="shared" si="10"/>
        <v>6.6826593557230973E-2</v>
      </c>
      <c r="N189" s="135"/>
      <c r="O189" s="135"/>
      <c r="P189" s="137">
        <v>44570</v>
      </c>
      <c r="Q189" s="136">
        <v>4662.8500000000004</v>
      </c>
      <c r="R189" s="134">
        <f t="shared" si="11"/>
        <v>-3.0318385813217219E-3</v>
      </c>
    </row>
    <row r="190" spans="2:18">
      <c r="B190" s="137">
        <v>44563</v>
      </c>
      <c r="C190">
        <v>62.27</v>
      </c>
      <c r="D190" s="134">
        <f t="shared" si="8"/>
        <v>6.208425720620836E-2</v>
      </c>
      <c r="F190" s="137">
        <v>44563</v>
      </c>
      <c r="G190">
        <v>22.93</v>
      </c>
      <c r="H190" s="134">
        <f t="shared" si="9"/>
        <v>0.17650076962544903</v>
      </c>
      <c r="K190" s="137">
        <v>44563</v>
      </c>
      <c r="L190">
        <v>29.18</v>
      </c>
      <c r="M190" s="134">
        <f t="shared" si="10"/>
        <v>-9.0965732087227469E-2</v>
      </c>
      <c r="N190" s="135"/>
      <c r="O190" s="135"/>
      <c r="P190" s="137">
        <v>44563</v>
      </c>
      <c r="Q190" s="136">
        <v>4677.03</v>
      </c>
      <c r="R190" s="134">
        <f t="shared" si="11"/>
        <v>-1.8704706914132618E-2</v>
      </c>
    </row>
    <row r="191" spans="2:18">
      <c r="B191" s="137">
        <v>44556</v>
      </c>
      <c r="C191">
        <v>58.63</v>
      </c>
      <c r="D191" s="134">
        <f t="shared" si="8"/>
        <v>3.0223159374451081E-2</v>
      </c>
      <c r="F191" s="137">
        <v>44556</v>
      </c>
      <c r="G191">
        <v>19.489999999999998</v>
      </c>
      <c r="H191" s="134">
        <f t="shared" si="9"/>
        <v>2.5789473684210362E-2</v>
      </c>
      <c r="K191" s="137">
        <v>44556</v>
      </c>
      <c r="L191">
        <v>32.1</v>
      </c>
      <c r="M191" s="134">
        <f t="shared" si="10"/>
        <v>5.5226824457593748E-2</v>
      </c>
      <c r="N191" s="135"/>
      <c r="O191" s="135"/>
      <c r="P191" s="137">
        <v>44556</v>
      </c>
      <c r="Q191" s="136">
        <v>4766.18</v>
      </c>
      <c r="R191" s="134">
        <f t="shared" si="11"/>
        <v>8.5467191728791914E-3</v>
      </c>
    </row>
    <row r="192" spans="2:18">
      <c r="B192" s="137">
        <v>44549</v>
      </c>
      <c r="C192">
        <v>56.91</v>
      </c>
      <c r="D192" s="134">
        <f t="shared" si="8"/>
        <v>3.1725888324872997E-2</v>
      </c>
      <c r="F192" s="137">
        <v>44549</v>
      </c>
      <c r="G192">
        <v>19</v>
      </c>
      <c r="H192" s="134">
        <f t="shared" si="9"/>
        <v>2.4258760107816579E-2</v>
      </c>
      <c r="K192" s="137">
        <v>44549</v>
      </c>
      <c r="L192">
        <v>30.42</v>
      </c>
      <c r="M192" s="134">
        <f t="shared" si="10"/>
        <v>1.6032064128256529E-2</v>
      </c>
      <c r="N192" s="135"/>
      <c r="O192" s="135"/>
      <c r="P192" s="137">
        <v>44549</v>
      </c>
      <c r="Q192" s="136">
        <v>4725.79</v>
      </c>
      <c r="R192" s="134">
        <f t="shared" si="11"/>
        <v>2.2756587831988639E-2</v>
      </c>
    </row>
    <row r="193" spans="2:18">
      <c r="B193" s="137">
        <v>44542</v>
      </c>
      <c r="C193">
        <v>55.16</v>
      </c>
      <c r="D193" s="134">
        <f t="shared" si="8"/>
        <v>-0.12735326688815063</v>
      </c>
      <c r="F193" s="137">
        <v>44542</v>
      </c>
      <c r="G193">
        <v>18.55</v>
      </c>
      <c r="H193" s="134">
        <f t="shared" si="9"/>
        <v>-7.8031809145129194E-2</v>
      </c>
      <c r="K193" s="137">
        <v>44542</v>
      </c>
      <c r="L193">
        <v>29.94</v>
      </c>
      <c r="M193" s="134">
        <f t="shared" si="10"/>
        <v>-7.7634011090572996E-2</v>
      </c>
      <c r="N193" s="135"/>
      <c r="O193" s="135"/>
      <c r="P193" s="137">
        <v>44542</v>
      </c>
      <c r="Q193" s="136">
        <v>4620.6400000000003</v>
      </c>
      <c r="R193" s="134">
        <f t="shared" si="11"/>
        <v>-1.9392956736176914E-2</v>
      </c>
    </row>
    <row r="194" spans="2:18">
      <c r="B194" s="137">
        <v>44535</v>
      </c>
      <c r="C194">
        <v>63.21</v>
      </c>
      <c r="D194" s="134">
        <f t="shared" si="8"/>
        <v>5.8616647127784249E-2</v>
      </c>
      <c r="F194" s="137">
        <v>44535</v>
      </c>
      <c r="G194">
        <v>20.12</v>
      </c>
      <c r="H194" s="134">
        <f t="shared" si="9"/>
        <v>0.12026726057906467</v>
      </c>
      <c r="K194" s="137">
        <v>44535</v>
      </c>
      <c r="L194">
        <v>32.46</v>
      </c>
      <c r="M194" s="134">
        <f t="shared" si="10"/>
        <v>0.13894736842105271</v>
      </c>
      <c r="N194" s="135"/>
      <c r="O194" s="135"/>
      <c r="P194" s="137">
        <v>44535</v>
      </c>
      <c r="Q194" s="136">
        <v>4712.0200000000004</v>
      </c>
      <c r="R194" s="134">
        <f t="shared" si="11"/>
        <v>3.8248909865305825E-2</v>
      </c>
    </row>
    <row r="195" spans="2:18">
      <c r="B195" s="137">
        <v>44528</v>
      </c>
      <c r="C195">
        <v>59.71</v>
      </c>
      <c r="D195" s="134">
        <f t="shared" si="8"/>
        <v>-7.645005816852235E-3</v>
      </c>
      <c r="F195" s="137">
        <v>44528</v>
      </c>
      <c r="G195">
        <v>17.96</v>
      </c>
      <c r="H195" s="134">
        <f t="shared" si="9"/>
        <v>-3.0760928224500828E-2</v>
      </c>
      <c r="K195" s="137">
        <v>44528</v>
      </c>
      <c r="L195">
        <v>28.5</v>
      </c>
      <c r="M195" s="134">
        <f t="shared" si="10"/>
        <v>-0.12037037037037035</v>
      </c>
      <c r="N195" s="135"/>
      <c r="O195" s="135"/>
      <c r="P195" s="137">
        <v>44528</v>
      </c>
      <c r="Q195" s="136">
        <v>4538.43</v>
      </c>
      <c r="R195" s="134">
        <f t="shared" si="11"/>
        <v>-1.2229520613238898E-2</v>
      </c>
    </row>
    <row r="196" spans="2:18">
      <c r="B196" s="137">
        <v>44521</v>
      </c>
      <c r="C196">
        <v>60.17</v>
      </c>
      <c r="D196" s="134">
        <f t="shared" si="8"/>
        <v>-2.6375404530744273E-2</v>
      </c>
      <c r="F196" s="137">
        <v>44521</v>
      </c>
      <c r="G196">
        <v>18.53</v>
      </c>
      <c r="H196" s="134">
        <f t="shared" si="9"/>
        <v>1.8691588785046731E-2</v>
      </c>
      <c r="K196" s="137">
        <v>44521</v>
      </c>
      <c r="L196">
        <v>32.4</v>
      </c>
      <c r="M196" s="134">
        <f t="shared" si="10"/>
        <v>5.8823529411764719E-2</v>
      </c>
      <c r="N196" s="135"/>
      <c r="O196" s="135"/>
      <c r="P196" s="137">
        <v>44521</v>
      </c>
      <c r="Q196" s="136">
        <v>4594.62</v>
      </c>
      <c r="R196" s="134">
        <f t="shared" si="11"/>
        <v>-2.1996781581792968E-2</v>
      </c>
    </row>
    <row r="197" spans="2:18">
      <c r="B197" s="137">
        <v>44514</v>
      </c>
      <c r="C197">
        <v>61.8</v>
      </c>
      <c r="D197" s="134">
        <f t="shared" si="8"/>
        <v>-2.5236593059936974E-2</v>
      </c>
      <c r="F197" s="137">
        <v>44514</v>
      </c>
      <c r="G197">
        <v>18.190000000000001</v>
      </c>
      <c r="H197" s="134">
        <f t="shared" si="9"/>
        <v>-5.4674685620555996E-3</v>
      </c>
      <c r="K197" s="137">
        <v>44514</v>
      </c>
      <c r="L197">
        <v>30.6</v>
      </c>
      <c r="M197" s="134">
        <f t="shared" si="10"/>
        <v>6.5789473684212396E-3</v>
      </c>
      <c r="N197" s="135"/>
      <c r="O197" s="135"/>
      <c r="P197" s="137">
        <v>44514</v>
      </c>
      <c r="Q197" s="136">
        <v>4697.96</v>
      </c>
      <c r="R197" s="134">
        <f t="shared" si="11"/>
        <v>3.2266675208472151E-3</v>
      </c>
    </row>
    <row r="198" spans="2:18">
      <c r="B198" s="137">
        <v>44507</v>
      </c>
      <c r="C198">
        <v>63.4</v>
      </c>
      <c r="D198" s="134">
        <f t="shared" si="8"/>
        <v>8.339029391660957E-2</v>
      </c>
      <c r="F198" s="137">
        <v>44507</v>
      </c>
      <c r="G198">
        <v>18.29</v>
      </c>
      <c r="H198" s="134">
        <f t="shared" si="9"/>
        <v>1.0497237569060625E-2</v>
      </c>
      <c r="K198" s="137">
        <v>44507</v>
      </c>
      <c r="L198">
        <v>30.4</v>
      </c>
      <c r="M198" s="134">
        <f t="shared" si="10"/>
        <v>-1.9354838709677469E-2</v>
      </c>
      <c r="N198" s="135"/>
      <c r="O198" s="135"/>
      <c r="P198" s="137">
        <v>44507</v>
      </c>
      <c r="Q198" s="136">
        <v>4682.8500000000004</v>
      </c>
      <c r="R198" s="134">
        <f t="shared" si="11"/>
        <v>-3.1250465670255023E-3</v>
      </c>
    </row>
    <row r="199" spans="2:18">
      <c r="B199" s="137">
        <v>44500</v>
      </c>
      <c r="C199">
        <v>58.52</v>
      </c>
      <c r="D199" s="134">
        <f t="shared" si="8"/>
        <v>7.5142384714312005E-2</v>
      </c>
      <c r="F199" s="137">
        <v>44500</v>
      </c>
      <c r="G199">
        <v>18.100000000000001</v>
      </c>
      <c r="H199" s="134">
        <f t="shared" si="9"/>
        <v>0.12983770287141083</v>
      </c>
      <c r="K199" s="137">
        <v>44500</v>
      </c>
      <c r="L199">
        <v>31</v>
      </c>
      <c r="M199" s="134">
        <f t="shared" si="10"/>
        <v>-4.995403003371135E-2</v>
      </c>
      <c r="N199" s="135"/>
      <c r="O199" s="135"/>
      <c r="P199" s="137">
        <v>44500</v>
      </c>
      <c r="Q199" s="136">
        <v>4697.53</v>
      </c>
      <c r="R199" s="134">
        <f t="shared" si="11"/>
        <v>2.0009206623557541E-2</v>
      </c>
    </row>
    <row r="200" spans="2:18">
      <c r="B200" s="137">
        <v>44493</v>
      </c>
      <c r="C200">
        <v>54.43</v>
      </c>
      <c r="D200" s="134">
        <f t="shared" si="8"/>
        <v>-5.7815475160117757E-2</v>
      </c>
      <c r="F200" s="137">
        <v>44493</v>
      </c>
      <c r="G200">
        <v>16.02</v>
      </c>
      <c r="H200" s="134">
        <f t="shared" si="9"/>
        <v>4.9115913555992208E-2</v>
      </c>
      <c r="K200" s="137">
        <v>44493</v>
      </c>
      <c r="L200">
        <v>32.630000000000003</v>
      </c>
      <c r="M200" s="134">
        <f t="shared" si="10"/>
        <v>1.052957572003721E-2</v>
      </c>
      <c r="N200" s="135"/>
      <c r="O200" s="135"/>
      <c r="P200" s="137">
        <v>44493</v>
      </c>
      <c r="Q200" s="136">
        <v>4605.38</v>
      </c>
      <c r="R200" s="134">
        <f t="shared" si="11"/>
        <v>1.3307223481264785E-2</v>
      </c>
    </row>
    <row r="201" spans="2:18">
      <c r="B201" s="137">
        <v>44486</v>
      </c>
      <c r="C201">
        <v>57.77</v>
      </c>
      <c r="D201" s="134">
        <f t="shared" si="8"/>
        <v>-3.9655172413792794E-3</v>
      </c>
      <c r="F201" s="137">
        <v>44486</v>
      </c>
      <c r="G201">
        <v>15.27</v>
      </c>
      <c r="H201" s="134">
        <f t="shared" si="9"/>
        <v>3.6659877800407248E-2</v>
      </c>
      <c r="K201" s="137">
        <v>44486</v>
      </c>
      <c r="L201">
        <v>32.29</v>
      </c>
      <c r="M201" s="134">
        <f t="shared" si="10"/>
        <v>5.3851174934725909E-2</v>
      </c>
      <c r="N201" s="135"/>
      <c r="O201" s="135"/>
      <c r="P201" s="137">
        <v>44486</v>
      </c>
      <c r="Q201" s="136">
        <v>4544.8999999999996</v>
      </c>
      <c r="R201" s="134">
        <f t="shared" si="11"/>
        <v>1.6444624354504223E-2</v>
      </c>
    </row>
    <row r="202" spans="2:18">
      <c r="B202" s="137">
        <v>44479</v>
      </c>
      <c r="C202">
        <v>58</v>
      </c>
      <c r="D202" s="134">
        <f t="shared" si="8"/>
        <v>-9.7319446815775645E-3</v>
      </c>
      <c r="F202" s="137">
        <v>44479</v>
      </c>
      <c r="G202">
        <v>14.73</v>
      </c>
      <c r="H202" s="134">
        <f t="shared" si="9"/>
        <v>3.8054968287526414E-2</v>
      </c>
      <c r="K202" s="137">
        <v>44479</v>
      </c>
      <c r="L202">
        <v>30.64</v>
      </c>
      <c r="M202" s="134">
        <f t="shared" si="10"/>
        <v>7.5465075465075637E-2</v>
      </c>
      <c r="N202" s="135"/>
      <c r="O202" s="135"/>
      <c r="P202" s="137">
        <v>44479</v>
      </c>
      <c r="Q202" s="136">
        <v>4471.37</v>
      </c>
      <c r="R202" s="134">
        <f t="shared" si="11"/>
        <v>1.8224505504014665E-2</v>
      </c>
    </row>
    <row r="203" spans="2:18">
      <c r="B203" s="137">
        <v>44472</v>
      </c>
      <c r="C203">
        <v>58.57</v>
      </c>
      <c r="D203" s="134">
        <f t="shared" si="8"/>
        <v>0.10239036325992834</v>
      </c>
      <c r="F203" s="137">
        <v>44472</v>
      </c>
      <c r="G203">
        <v>14.19</v>
      </c>
      <c r="H203" s="134">
        <f t="shared" si="9"/>
        <v>6.8524096385542244E-2</v>
      </c>
      <c r="K203" s="137">
        <v>44472</v>
      </c>
      <c r="L203">
        <v>28.49</v>
      </c>
      <c r="M203" s="134">
        <f t="shared" si="10"/>
        <v>8.3682008368200833E-2</v>
      </c>
      <c r="N203" s="135"/>
      <c r="O203" s="135"/>
      <c r="P203" s="137">
        <v>44472</v>
      </c>
      <c r="Q203" s="136">
        <v>4391.34</v>
      </c>
      <c r="R203" s="134">
        <f t="shared" si="11"/>
        <v>7.8723169858436748E-3</v>
      </c>
    </row>
    <row r="204" spans="2:18">
      <c r="B204" s="137">
        <v>44465</v>
      </c>
      <c r="C204">
        <v>53.13</v>
      </c>
      <c r="D204" s="134">
        <f t="shared" si="8"/>
        <v>1.7231476163124704E-2</v>
      </c>
      <c r="F204" s="137">
        <v>44465</v>
      </c>
      <c r="G204">
        <v>13.28</v>
      </c>
      <c r="H204" s="134">
        <f t="shared" si="9"/>
        <v>2.7068832173240409E-2</v>
      </c>
      <c r="K204" s="137">
        <v>44465</v>
      </c>
      <c r="L204">
        <v>26.29</v>
      </c>
      <c r="M204" s="134">
        <f t="shared" si="10"/>
        <v>6.8939103791649803E-3</v>
      </c>
      <c r="N204" s="135"/>
      <c r="O204" s="135"/>
      <c r="P204" s="137">
        <v>44465</v>
      </c>
      <c r="Q204" s="136">
        <v>4357.04</v>
      </c>
      <c r="R204" s="134">
        <f t="shared" si="11"/>
        <v>-2.2094140249759753E-2</v>
      </c>
    </row>
    <row r="205" spans="2:18">
      <c r="B205" s="137">
        <v>44458</v>
      </c>
      <c r="C205">
        <v>52.23</v>
      </c>
      <c r="D205" s="134">
        <f t="shared" si="8"/>
        <v>1.7533606078316666E-2</v>
      </c>
      <c r="F205" s="137">
        <v>44458</v>
      </c>
      <c r="G205">
        <v>12.93</v>
      </c>
      <c r="H205" s="134">
        <f t="shared" si="9"/>
        <v>1.7309205350117818E-2</v>
      </c>
      <c r="K205" s="137">
        <v>44458</v>
      </c>
      <c r="L205">
        <v>26.11</v>
      </c>
      <c r="M205" s="134">
        <f t="shared" si="10"/>
        <v>-0.10244070127191474</v>
      </c>
      <c r="N205" s="135"/>
      <c r="O205" s="135"/>
      <c r="P205" s="137">
        <v>44458</v>
      </c>
      <c r="Q205" s="136">
        <v>4455.4799999999996</v>
      </c>
      <c r="R205" s="134">
        <f t="shared" si="11"/>
        <v>5.0733252274424157E-3</v>
      </c>
    </row>
    <row r="206" spans="2:18">
      <c r="B206" s="137">
        <v>44451</v>
      </c>
      <c r="C206">
        <v>51.33</v>
      </c>
      <c r="D206" s="134">
        <f t="shared" si="8"/>
        <v>3.7179228126894337E-2</v>
      </c>
      <c r="F206" s="137">
        <v>44451</v>
      </c>
      <c r="G206">
        <v>12.71</v>
      </c>
      <c r="H206" s="134">
        <f t="shared" si="9"/>
        <v>6.8067226890756283E-2</v>
      </c>
      <c r="K206" s="137">
        <v>44451</v>
      </c>
      <c r="L206">
        <v>29.09</v>
      </c>
      <c r="M206" s="134">
        <f t="shared" si="10"/>
        <v>-3.6435905929115608E-2</v>
      </c>
      <c r="N206" s="135"/>
      <c r="O206" s="135"/>
      <c r="P206" s="137">
        <v>44451</v>
      </c>
      <c r="Q206" s="136">
        <v>4432.99</v>
      </c>
      <c r="R206" s="134">
        <f t="shared" si="11"/>
        <v>-5.7394955344527432E-3</v>
      </c>
    </row>
    <row r="207" spans="2:18">
      <c r="B207" s="137">
        <v>44444</v>
      </c>
      <c r="C207">
        <v>49.49</v>
      </c>
      <c r="D207" s="134">
        <f t="shared" si="8"/>
        <v>1.3723883654240154E-2</v>
      </c>
      <c r="F207" s="137">
        <v>44444</v>
      </c>
      <c r="G207">
        <v>11.9</v>
      </c>
      <c r="H207" s="134">
        <f t="shared" si="9"/>
        <v>-1.571546732837048E-2</v>
      </c>
      <c r="K207" s="137">
        <v>44444</v>
      </c>
      <c r="L207">
        <v>30.19</v>
      </c>
      <c r="M207" s="134">
        <f t="shared" si="10"/>
        <v>-2.972258916776771E-3</v>
      </c>
      <c r="N207" s="135"/>
      <c r="O207" s="135"/>
      <c r="P207" s="137">
        <v>44444</v>
      </c>
      <c r="Q207" s="136">
        <v>4458.58</v>
      </c>
      <c r="R207" s="134">
        <f t="shared" si="11"/>
        <v>-1.6944369111638879E-2</v>
      </c>
    </row>
    <row r="208" spans="2:18">
      <c r="B208" s="137">
        <v>44437</v>
      </c>
      <c r="C208">
        <v>48.82</v>
      </c>
      <c r="D208" s="134">
        <f t="shared" si="8"/>
        <v>-1.9678714859437729E-2</v>
      </c>
      <c r="F208" s="137">
        <v>44437</v>
      </c>
      <c r="G208">
        <v>12.09</v>
      </c>
      <c r="H208" s="134">
        <f t="shared" si="9"/>
        <v>-3.2025620496397122E-2</v>
      </c>
      <c r="K208" s="137">
        <v>44437</v>
      </c>
      <c r="L208">
        <v>30.28</v>
      </c>
      <c r="M208" s="134">
        <f t="shared" si="10"/>
        <v>3.2038173142467707E-2</v>
      </c>
      <c r="N208" s="135"/>
      <c r="O208" s="135"/>
      <c r="P208" s="137">
        <v>44437</v>
      </c>
      <c r="Q208" s="136">
        <v>4535.43</v>
      </c>
      <c r="R208" s="134">
        <f t="shared" si="11"/>
        <v>5.7790777869193288E-3</v>
      </c>
    </row>
    <row r="209" spans="2:18">
      <c r="B209" s="137">
        <v>44430</v>
      </c>
      <c r="C209">
        <v>49.8</v>
      </c>
      <c r="D209" s="134">
        <f t="shared" si="8"/>
        <v>2.0491803278688492E-2</v>
      </c>
      <c r="F209" s="137">
        <v>44430</v>
      </c>
      <c r="G209">
        <v>12.49</v>
      </c>
      <c r="H209" s="134">
        <f t="shared" si="9"/>
        <v>5.9372349448685524E-2</v>
      </c>
      <c r="K209" s="137">
        <v>44430</v>
      </c>
      <c r="L209">
        <v>29.34</v>
      </c>
      <c r="M209" s="134">
        <f t="shared" si="10"/>
        <v>2.7310924369748024E-2</v>
      </c>
      <c r="N209" s="135"/>
      <c r="O209" s="135"/>
      <c r="P209" s="137">
        <v>44430</v>
      </c>
      <c r="Q209" s="136">
        <v>4509.37</v>
      </c>
      <c r="R209" s="134">
        <f t="shared" si="11"/>
        <v>1.5242014827756112E-2</v>
      </c>
    </row>
    <row r="210" spans="2:18">
      <c r="B210" s="137">
        <v>44423</v>
      </c>
      <c r="C210">
        <v>48.8</v>
      </c>
      <c r="D210" s="134">
        <f t="shared" si="8"/>
        <v>-9.0400745573159358E-2</v>
      </c>
      <c r="F210" s="137">
        <v>44423</v>
      </c>
      <c r="G210">
        <v>11.79</v>
      </c>
      <c r="H210" s="134">
        <f t="shared" si="9"/>
        <v>-7.5294117647058845E-2</v>
      </c>
      <c r="K210" s="137">
        <v>44423</v>
      </c>
      <c r="L210">
        <v>28.56</v>
      </c>
      <c r="M210" s="134">
        <f t="shared" si="10"/>
        <v>-3.4891835310537633E-3</v>
      </c>
      <c r="N210" s="135"/>
      <c r="O210" s="135"/>
      <c r="P210" s="137">
        <v>44423</v>
      </c>
      <c r="Q210" s="136">
        <v>4441.67</v>
      </c>
      <c r="R210" s="134">
        <f t="shared" si="11"/>
        <v>-5.8930170098477896E-3</v>
      </c>
    </row>
    <row r="211" spans="2:18">
      <c r="B211" s="137">
        <v>44416</v>
      </c>
      <c r="C211">
        <v>53.65</v>
      </c>
      <c r="D211" s="134">
        <f t="shared" si="8"/>
        <v>-2.5431425976385036E-2</v>
      </c>
      <c r="F211" s="137">
        <v>44416</v>
      </c>
      <c r="G211">
        <v>12.75</v>
      </c>
      <c r="H211" s="134">
        <f t="shared" si="9"/>
        <v>-1.5444015444015413E-2</v>
      </c>
      <c r="K211" s="137">
        <v>44416</v>
      </c>
      <c r="L211">
        <v>28.66</v>
      </c>
      <c r="M211" s="134">
        <f t="shared" si="10"/>
        <v>-5.5683690280065923E-2</v>
      </c>
      <c r="N211" s="135"/>
      <c r="O211" s="135"/>
      <c r="P211" s="137">
        <v>44416</v>
      </c>
      <c r="Q211" s="136">
        <v>4468</v>
      </c>
      <c r="R211" s="134">
        <f t="shared" si="11"/>
        <v>7.0956515467077708E-3</v>
      </c>
    </row>
    <row r="212" spans="2:18">
      <c r="B212" s="137">
        <v>44409</v>
      </c>
      <c r="C212">
        <v>55.05</v>
      </c>
      <c r="D212" s="134">
        <f t="shared" si="8"/>
        <v>-3.1491907107670802E-2</v>
      </c>
      <c r="F212" s="137">
        <v>44409</v>
      </c>
      <c r="G212">
        <v>12.95</v>
      </c>
      <c r="H212" s="134">
        <f t="shared" si="9"/>
        <v>-1.0695187165775444E-2</v>
      </c>
      <c r="K212" s="137">
        <v>44409</v>
      </c>
      <c r="L212">
        <v>30.35</v>
      </c>
      <c r="M212" s="134">
        <f t="shared" si="10"/>
        <v>-9.104522312069474E-2</v>
      </c>
      <c r="N212" s="135"/>
      <c r="O212" s="135"/>
      <c r="P212" s="137">
        <v>44409</v>
      </c>
      <c r="Q212" s="136">
        <v>4436.5200000000004</v>
      </c>
      <c r="R212" s="134">
        <f t="shared" si="11"/>
        <v>9.3873855016541885E-3</v>
      </c>
    </row>
    <row r="213" spans="2:18">
      <c r="B213" s="137">
        <v>44402</v>
      </c>
      <c r="C213">
        <v>56.84</v>
      </c>
      <c r="D213" s="134">
        <f t="shared" si="8"/>
        <v>3.4583181652712236E-2</v>
      </c>
      <c r="F213" s="137">
        <v>44402</v>
      </c>
      <c r="G213">
        <v>13.09</v>
      </c>
      <c r="H213" s="134">
        <f t="shared" si="9"/>
        <v>9.2521202775635025E-3</v>
      </c>
      <c r="K213" s="137">
        <v>44402</v>
      </c>
      <c r="L213">
        <v>33.39</v>
      </c>
      <c r="M213" s="134">
        <f t="shared" si="10"/>
        <v>0.10270805812417438</v>
      </c>
      <c r="N213" s="135"/>
      <c r="O213" s="135"/>
      <c r="P213" s="137">
        <v>44402</v>
      </c>
      <c r="Q213" s="136">
        <v>4395.26</v>
      </c>
      <c r="R213" s="134">
        <f t="shared" si="11"/>
        <v>-3.7467785184697178E-3</v>
      </c>
    </row>
    <row r="214" spans="2:18">
      <c r="B214" s="137">
        <v>44395</v>
      </c>
      <c r="C214">
        <v>54.94</v>
      </c>
      <c r="D214" s="134">
        <f t="shared" ref="D214:D229" si="12">C214/C215-1</f>
        <v>-9.3761269383340062E-3</v>
      </c>
      <c r="F214" s="137">
        <v>44395</v>
      </c>
      <c r="G214">
        <v>12.97</v>
      </c>
      <c r="H214" s="134">
        <f t="shared" ref="H214:H229" si="13">G214/G215-1</f>
        <v>1.5661707126076729E-2</v>
      </c>
      <c r="K214" s="137">
        <v>44395</v>
      </c>
      <c r="L214">
        <v>30.28</v>
      </c>
      <c r="M214" s="134">
        <f t="shared" ref="M214:M229" si="14">L214/L215-1</f>
        <v>-1.3192612137202797E-3</v>
      </c>
      <c r="N214" s="135"/>
      <c r="O214" s="135"/>
      <c r="P214" s="137">
        <v>44395</v>
      </c>
      <c r="Q214" s="136">
        <v>4411.79</v>
      </c>
      <c r="R214" s="134">
        <f t="shared" ref="R214:R229" si="15">Q214/Q215-1</f>
        <v>1.9557862431710538E-2</v>
      </c>
    </row>
    <row r="215" spans="2:18">
      <c r="B215" s="137">
        <v>44388</v>
      </c>
      <c r="C215">
        <v>55.46</v>
      </c>
      <c r="D215" s="134">
        <f t="shared" si="12"/>
        <v>-5.6160653505786251E-2</v>
      </c>
      <c r="F215" s="137">
        <v>44388</v>
      </c>
      <c r="G215">
        <v>12.77</v>
      </c>
      <c r="H215" s="134">
        <f t="shared" si="13"/>
        <v>-5.9646539027982337E-2</v>
      </c>
      <c r="K215" s="137">
        <v>44388</v>
      </c>
      <c r="L215">
        <v>30.32</v>
      </c>
      <c r="M215" s="134">
        <f t="shared" si="14"/>
        <v>-4.7140163419233216E-2</v>
      </c>
      <c r="N215" s="135"/>
      <c r="O215" s="135"/>
      <c r="P215" s="137">
        <v>44388</v>
      </c>
      <c r="Q215" s="136">
        <v>4327.16</v>
      </c>
      <c r="R215" s="134">
        <f t="shared" si="15"/>
        <v>-9.7012278152213138E-3</v>
      </c>
    </row>
    <row r="216" spans="2:18">
      <c r="B216" s="137">
        <v>44381</v>
      </c>
      <c r="C216">
        <v>58.76</v>
      </c>
      <c r="D216" s="134">
        <f t="shared" si="12"/>
        <v>-3.3921302578019397E-3</v>
      </c>
      <c r="F216" s="137">
        <v>44381</v>
      </c>
      <c r="G216">
        <v>13.58</v>
      </c>
      <c r="H216" s="134">
        <f t="shared" si="13"/>
        <v>-3.0692362598144118E-2</v>
      </c>
      <c r="K216" s="137">
        <v>44381</v>
      </c>
      <c r="L216">
        <v>31.82</v>
      </c>
      <c r="M216" s="134">
        <f t="shared" si="14"/>
        <v>-2.6017753290480616E-2</v>
      </c>
      <c r="N216" s="135"/>
      <c r="O216" s="135"/>
      <c r="P216" s="137">
        <v>44381</v>
      </c>
      <c r="Q216" s="136">
        <v>4369.55</v>
      </c>
      <c r="R216" s="134">
        <f t="shared" si="15"/>
        <v>3.954194755005469E-3</v>
      </c>
    </row>
    <row r="217" spans="2:18">
      <c r="B217" s="137">
        <v>44374</v>
      </c>
      <c r="C217">
        <v>58.96</v>
      </c>
      <c r="D217" s="134">
        <f t="shared" si="12"/>
        <v>-2.2222222222222143E-2</v>
      </c>
      <c r="F217" s="137">
        <v>44374</v>
      </c>
      <c r="G217">
        <v>14.01</v>
      </c>
      <c r="H217" s="134">
        <f t="shared" si="13"/>
        <v>-1.684210526315788E-2</v>
      </c>
      <c r="K217" s="137">
        <v>44374</v>
      </c>
      <c r="L217">
        <v>32.67</v>
      </c>
      <c r="M217" s="134">
        <f t="shared" si="14"/>
        <v>3.125E-2</v>
      </c>
      <c r="N217" s="135"/>
      <c r="O217" s="135"/>
      <c r="P217" s="137">
        <v>44374</v>
      </c>
      <c r="Q217" s="136">
        <v>4352.34</v>
      </c>
      <c r="R217" s="134">
        <f t="shared" si="15"/>
        <v>1.6735580629336333E-2</v>
      </c>
    </row>
    <row r="218" spans="2:18">
      <c r="B218" s="137">
        <v>44367</v>
      </c>
      <c r="C218">
        <v>60.3</v>
      </c>
      <c r="D218" s="134">
        <f t="shared" si="12"/>
        <v>2.620830496936688E-2</v>
      </c>
      <c r="F218" s="137">
        <v>44367</v>
      </c>
      <c r="G218">
        <v>14.25</v>
      </c>
      <c r="H218" s="134">
        <f t="shared" si="13"/>
        <v>4.6255506607929542E-2</v>
      </c>
      <c r="K218" s="137">
        <v>44367</v>
      </c>
      <c r="L218">
        <v>31.68</v>
      </c>
      <c r="M218" s="134">
        <f t="shared" si="14"/>
        <v>5.2142145466622436E-2</v>
      </c>
      <c r="N218" s="135"/>
      <c r="O218" s="135"/>
      <c r="P218" s="137">
        <v>44367</v>
      </c>
      <c r="Q218" s="136">
        <v>4280.7</v>
      </c>
      <c r="R218" s="134">
        <f t="shared" si="15"/>
        <v>2.7421425914147646E-2</v>
      </c>
    </row>
    <row r="219" spans="2:18">
      <c r="B219" s="137">
        <v>44360</v>
      </c>
      <c r="C219">
        <v>58.76</v>
      </c>
      <c r="D219" s="134">
        <f t="shared" si="12"/>
        <v>-4.4397463002114224E-2</v>
      </c>
      <c r="F219" s="137">
        <v>44360</v>
      </c>
      <c r="G219">
        <v>13.62</v>
      </c>
      <c r="H219" s="134">
        <f t="shared" si="13"/>
        <v>-5.0209205020920522E-2</v>
      </c>
      <c r="K219" s="137">
        <v>44360</v>
      </c>
      <c r="L219">
        <v>30.11</v>
      </c>
      <c r="M219" s="134">
        <f t="shared" si="14"/>
        <v>7.1149057274991101E-2</v>
      </c>
      <c r="N219" s="135"/>
      <c r="O219" s="135"/>
      <c r="P219" s="137">
        <v>44360</v>
      </c>
      <c r="Q219" s="136">
        <v>4166.45</v>
      </c>
      <c r="R219" s="134">
        <f t="shared" si="15"/>
        <v>-1.9067956227751259E-2</v>
      </c>
    </row>
    <row r="220" spans="2:18">
      <c r="B220" s="137">
        <v>44353</v>
      </c>
      <c r="C220">
        <v>61.49</v>
      </c>
      <c r="D220" s="134">
        <f t="shared" si="12"/>
        <v>-2.966703487454625E-2</v>
      </c>
      <c r="F220" s="137">
        <v>44353</v>
      </c>
      <c r="G220">
        <v>14.34</v>
      </c>
      <c r="H220" s="134">
        <f t="shared" si="13"/>
        <v>-4.2723631508678306E-2</v>
      </c>
      <c r="K220" s="137">
        <v>44353</v>
      </c>
      <c r="L220">
        <v>28.11</v>
      </c>
      <c r="M220" s="134">
        <f t="shared" si="14"/>
        <v>9.6333853354134025E-2</v>
      </c>
      <c r="N220" s="135"/>
      <c r="O220" s="135"/>
      <c r="P220" s="137">
        <v>44353</v>
      </c>
      <c r="Q220" s="136">
        <v>4247.4399999999996</v>
      </c>
      <c r="R220" s="134">
        <f t="shared" si="15"/>
        <v>4.1490440649754046E-3</v>
      </c>
    </row>
    <row r="221" spans="2:18">
      <c r="B221" s="137">
        <v>44346</v>
      </c>
      <c r="C221">
        <v>63.37</v>
      </c>
      <c r="D221" s="134">
        <f t="shared" si="12"/>
        <v>6.8453886359804317E-2</v>
      </c>
      <c r="F221" s="137">
        <v>44346</v>
      </c>
      <c r="G221">
        <v>14.98</v>
      </c>
      <c r="H221" s="134">
        <f t="shared" si="13"/>
        <v>9.904622157006604E-2</v>
      </c>
      <c r="K221" s="137">
        <v>44346</v>
      </c>
      <c r="L221">
        <v>25.64</v>
      </c>
      <c r="M221" s="134">
        <f t="shared" si="14"/>
        <v>0.10042918454935612</v>
      </c>
      <c r="N221" s="135"/>
      <c r="O221" s="135"/>
      <c r="P221" s="137">
        <v>44346</v>
      </c>
      <c r="Q221" s="136">
        <v>4229.8900000000003</v>
      </c>
      <c r="R221" s="134">
        <f t="shared" si="15"/>
        <v>6.1320945455758391E-3</v>
      </c>
    </row>
    <row r="222" spans="2:18">
      <c r="B222" s="137">
        <v>44339</v>
      </c>
      <c r="C222">
        <v>59.31</v>
      </c>
      <c r="D222" s="134">
        <f t="shared" si="12"/>
        <v>4.5662905500705175E-2</v>
      </c>
      <c r="F222" s="137">
        <v>44339</v>
      </c>
      <c r="G222">
        <v>13.63</v>
      </c>
      <c r="H222" s="134">
        <f t="shared" si="13"/>
        <v>8.9528377298161654E-2</v>
      </c>
      <c r="K222" s="137">
        <v>44339</v>
      </c>
      <c r="L222">
        <v>23.3</v>
      </c>
      <c r="M222" s="134">
        <f t="shared" si="14"/>
        <v>0.13714006832601289</v>
      </c>
      <c r="N222" s="135"/>
      <c r="O222" s="135"/>
      <c r="P222" s="137">
        <v>44339</v>
      </c>
      <c r="Q222" s="136">
        <v>4204.1099999999997</v>
      </c>
      <c r="R222" s="134">
        <f t="shared" si="15"/>
        <v>1.1610111986448013E-2</v>
      </c>
    </row>
    <row r="223" spans="2:18">
      <c r="B223" s="137">
        <v>44332</v>
      </c>
      <c r="C223">
        <v>56.72</v>
      </c>
      <c r="D223" s="134">
        <f t="shared" si="12"/>
        <v>1.28571428571429E-2</v>
      </c>
      <c r="F223" s="137">
        <v>44332</v>
      </c>
      <c r="G223">
        <v>12.51</v>
      </c>
      <c r="H223" s="134">
        <f t="shared" si="13"/>
        <v>0.12601260126012614</v>
      </c>
      <c r="K223" s="137">
        <v>44332</v>
      </c>
      <c r="L223">
        <v>20.49</v>
      </c>
      <c r="M223" s="134">
        <f t="shared" si="14"/>
        <v>0.11662125340599427</v>
      </c>
      <c r="N223" s="135"/>
      <c r="O223" s="135"/>
      <c r="P223" s="137">
        <v>44332</v>
      </c>
      <c r="Q223" s="136">
        <v>4155.8599999999997</v>
      </c>
      <c r="R223" s="134">
        <f t="shared" si="15"/>
        <v>-4.3101692681818404E-3</v>
      </c>
    </row>
    <row r="224" spans="2:18">
      <c r="B224" s="137">
        <v>44325</v>
      </c>
      <c r="C224">
        <v>56</v>
      </c>
      <c r="D224" s="134">
        <f t="shared" si="12"/>
        <v>-5.0686557043566727E-2</v>
      </c>
      <c r="F224" s="137">
        <v>44325</v>
      </c>
      <c r="G224">
        <v>11.11</v>
      </c>
      <c r="H224" s="134">
        <f t="shared" si="13"/>
        <v>1.8034265103696878E-3</v>
      </c>
      <c r="K224" s="137">
        <v>44325</v>
      </c>
      <c r="L224">
        <v>18.350000000000001</v>
      </c>
      <c r="M224" s="134">
        <f t="shared" si="14"/>
        <v>4.9288061336254518E-3</v>
      </c>
      <c r="N224" s="135"/>
      <c r="O224" s="135"/>
      <c r="P224" s="137">
        <v>44325</v>
      </c>
      <c r="Q224" s="136">
        <v>4173.8500000000004</v>
      </c>
      <c r="R224" s="134">
        <f t="shared" si="15"/>
        <v>-1.388035722723624E-2</v>
      </c>
    </row>
    <row r="225" spans="2:18">
      <c r="B225" s="137">
        <v>44318</v>
      </c>
      <c r="C225">
        <v>58.99</v>
      </c>
      <c r="D225" s="134">
        <f t="shared" si="12"/>
        <v>3.0933240125830208E-2</v>
      </c>
      <c r="F225" s="137">
        <v>44318</v>
      </c>
      <c r="G225">
        <v>11.09</v>
      </c>
      <c r="H225" s="134">
        <f t="shared" si="13"/>
        <v>2.4007386888273308E-2</v>
      </c>
      <c r="K225" s="137">
        <v>44318</v>
      </c>
      <c r="L225">
        <v>18.260000000000002</v>
      </c>
      <c r="M225" s="134">
        <f t="shared" si="14"/>
        <v>-7.4974670719351377E-2</v>
      </c>
      <c r="N225" s="135"/>
      <c r="O225" s="135"/>
      <c r="P225" s="137">
        <v>44318</v>
      </c>
      <c r="Q225" s="136">
        <v>4232.6000000000004</v>
      </c>
      <c r="R225" s="134">
        <f t="shared" si="15"/>
        <v>1.2300384820516763E-2</v>
      </c>
    </row>
    <row r="226" spans="2:18">
      <c r="B226" s="137">
        <v>44311</v>
      </c>
      <c r="C226">
        <v>57.22</v>
      </c>
      <c r="D226" s="134">
        <f t="shared" si="12"/>
        <v>-5.388492960194724E-3</v>
      </c>
      <c r="F226" s="137">
        <v>44311</v>
      </c>
      <c r="G226">
        <v>10.83</v>
      </c>
      <c r="H226" s="134">
        <f t="shared" si="13"/>
        <v>-5.4973821989528826E-2</v>
      </c>
      <c r="K226" s="137">
        <v>44311</v>
      </c>
      <c r="L226">
        <v>19.739999999999998</v>
      </c>
      <c r="M226" s="134">
        <f t="shared" si="14"/>
        <v>-4.1747572815534095E-2</v>
      </c>
      <c r="N226" s="135"/>
      <c r="O226" s="135"/>
      <c r="P226" s="137">
        <v>44311</v>
      </c>
      <c r="Q226" s="136">
        <v>4181.17</v>
      </c>
      <c r="R226" s="134">
        <f t="shared" si="15"/>
        <v>2.3922472052562149E-4</v>
      </c>
    </row>
    <row r="227" spans="2:18">
      <c r="B227" s="137">
        <v>44304</v>
      </c>
      <c r="C227">
        <v>57.53</v>
      </c>
      <c r="D227" s="134">
        <f t="shared" si="12"/>
        <v>-2.00987906659853E-2</v>
      </c>
      <c r="F227" s="137">
        <v>44304</v>
      </c>
      <c r="G227">
        <v>11.46</v>
      </c>
      <c r="H227" s="134">
        <f t="shared" si="13"/>
        <v>-8.7183958151693108E-4</v>
      </c>
      <c r="K227" s="137">
        <v>44304</v>
      </c>
      <c r="L227">
        <v>20.6</v>
      </c>
      <c r="M227" s="134">
        <f t="shared" si="14"/>
        <v>6.846473029045641E-2</v>
      </c>
      <c r="N227" s="135"/>
      <c r="O227" s="135"/>
      <c r="P227" s="137">
        <v>44304</v>
      </c>
      <c r="Q227" s="136">
        <v>4180.17</v>
      </c>
      <c r="R227" s="134">
        <f t="shared" si="15"/>
        <v>-1.266285506765108E-3</v>
      </c>
    </row>
    <row r="228" spans="2:18">
      <c r="B228" s="137">
        <v>44297</v>
      </c>
      <c r="C228">
        <v>58.71</v>
      </c>
      <c r="D228" s="134">
        <f t="shared" si="12"/>
        <v>-2.4102393617021156E-2</v>
      </c>
      <c r="F228" s="137">
        <v>44297</v>
      </c>
      <c r="G228">
        <v>11.47</v>
      </c>
      <c r="H228" s="134">
        <f t="shared" si="13"/>
        <v>-2.2998296422487186E-2</v>
      </c>
      <c r="K228" s="137">
        <v>44297</v>
      </c>
      <c r="L228">
        <v>19.28</v>
      </c>
      <c r="M228" s="134">
        <f t="shared" si="14"/>
        <v>-0.15289982425307558</v>
      </c>
      <c r="N228" s="135"/>
      <c r="O228" s="135"/>
      <c r="P228" s="137">
        <v>44297</v>
      </c>
      <c r="Q228" s="136">
        <v>4185.47</v>
      </c>
      <c r="R228" s="134">
        <f t="shared" si="15"/>
        <v>1.3725537686494871E-2</v>
      </c>
    </row>
    <row r="229" spans="2:18">
      <c r="B229" s="137">
        <v>44290</v>
      </c>
      <c r="C229">
        <v>60.16</v>
      </c>
      <c r="D229" s="134">
        <f t="shared" si="12"/>
        <v>4.0830449826989579E-2</v>
      </c>
      <c r="F229" s="137">
        <v>44290</v>
      </c>
      <c r="G229">
        <v>11.74</v>
      </c>
      <c r="H229" s="134">
        <f t="shared" si="13"/>
        <v>2.8021015761821477E-2</v>
      </c>
      <c r="K229" s="137">
        <v>44290</v>
      </c>
      <c r="L229">
        <v>22.76</v>
      </c>
      <c r="M229" s="134">
        <f t="shared" si="14"/>
        <v>-9.861386138613859E-2</v>
      </c>
      <c r="P229" s="137">
        <v>44290</v>
      </c>
      <c r="Q229" s="136">
        <v>4128.8</v>
      </c>
      <c r="R229" s="134">
        <f t="shared" si="15"/>
        <v>2.7097891225338122E-2</v>
      </c>
    </row>
    <row r="230" spans="2:18">
      <c r="B230" s="137">
        <v>44283</v>
      </c>
      <c r="C230">
        <v>57.8</v>
      </c>
      <c r="F230" s="137">
        <v>44283</v>
      </c>
      <c r="G230">
        <v>11.42</v>
      </c>
      <c r="K230" s="137">
        <v>44283</v>
      </c>
      <c r="L230">
        <v>25.25</v>
      </c>
      <c r="P230" s="137">
        <v>44283</v>
      </c>
      <c r="Q230" s="136">
        <v>4019.87</v>
      </c>
    </row>
    <row r="520" spans="2:6">
      <c r="B520" s="137"/>
      <c r="F520" s="137"/>
    </row>
    <row r="521" spans="2:6">
      <c r="B521" s="137"/>
      <c r="F521" s="137"/>
    </row>
    <row r="522" spans="2:6">
      <c r="B522" s="137"/>
      <c r="F522" s="137"/>
    </row>
    <row r="523" spans="2:6">
      <c r="B523" s="137"/>
      <c r="F523" s="137"/>
    </row>
    <row r="524" spans="2:6">
      <c r="B524" s="137"/>
      <c r="F524" s="137"/>
    </row>
    <row r="525" spans="2:6">
      <c r="B525" s="137"/>
      <c r="F525" s="137"/>
    </row>
    <row r="526" spans="2:6">
      <c r="B526" s="137"/>
      <c r="F526" s="137"/>
    </row>
    <row r="527" spans="2:6">
      <c r="B527" s="137"/>
      <c r="F527" s="137"/>
    </row>
    <row r="528" spans="2:6">
      <c r="B528" s="137"/>
      <c r="F528" s="137"/>
    </row>
    <row r="529" spans="2:6">
      <c r="B529" s="137"/>
      <c r="F529" s="137"/>
    </row>
    <row r="530" spans="2:6">
      <c r="B530" s="137"/>
      <c r="F530" s="137"/>
    </row>
    <row r="531" spans="2:6">
      <c r="B531" s="137"/>
      <c r="F531" s="137"/>
    </row>
    <row r="532" spans="2:6">
      <c r="B532" s="137"/>
      <c r="F532" s="137"/>
    </row>
    <row r="533" spans="2:6">
      <c r="B533" s="137"/>
      <c r="F533" s="137"/>
    </row>
    <row r="534" spans="2:6">
      <c r="B534" s="137"/>
      <c r="F534" s="137"/>
    </row>
    <row r="535" spans="2:6">
      <c r="B535" s="137"/>
      <c r="F535" s="137"/>
    </row>
    <row r="536" spans="2:6">
      <c r="B536" s="137"/>
      <c r="F536" s="137"/>
    </row>
    <row r="537" spans="2:6">
      <c r="B537" s="137"/>
      <c r="F537" s="137"/>
    </row>
    <row r="538" spans="2:6">
      <c r="B538" s="137"/>
      <c r="F538" s="137"/>
    </row>
    <row r="539" spans="2:6">
      <c r="B539" s="137"/>
      <c r="F539" s="137"/>
    </row>
    <row r="540" spans="2:6">
      <c r="B540" s="137"/>
      <c r="F540" s="137"/>
    </row>
    <row r="541" spans="2:6">
      <c r="B541" s="137"/>
      <c r="F541" s="137"/>
    </row>
    <row r="542" spans="2:6">
      <c r="B542" s="137"/>
      <c r="F542" s="137"/>
    </row>
    <row r="543" spans="2:6">
      <c r="B543" s="137"/>
      <c r="F543" s="137"/>
    </row>
    <row r="544" spans="2:6">
      <c r="B544" s="137"/>
      <c r="F544" s="137"/>
    </row>
    <row r="545" spans="2:6">
      <c r="B545" s="137"/>
      <c r="F545" s="137"/>
    </row>
    <row r="546" spans="2:6">
      <c r="B546" s="137"/>
      <c r="F546" s="137"/>
    </row>
    <row r="547" spans="2:6">
      <c r="B547" s="137"/>
      <c r="F547" s="137"/>
    </row>
    <row r="548" spans="2:6">
      <c r="B548" s="137"/>
      <c r="F548" s="137"/>
    </row>
    <row r="549" spans="2:6">
      <c r="B549" s="137"/>
      <c r="F549" s="137"/>
    </row>
    <row r="550" spans="2:6">
      <c r="B550" s="137"/>
      <c r="F550" s="137"/>
    </row>
    <row r="551" spans="2:6">
      <c r="B551" s="137"/>
      <c r="F551" s="137"/>
    </row>
    <row r="552" spans="2:6">
      <c r="B552" s="137"/>
      <c r="F552" s="137"/>
    </row>
    <row r="553" spans="2:6">
      <c r="B553" s="137"/>
      <c r="F553" s="137"/>
    </row>
    <row r="554" spans="2:6">
      <c r="B554" s="137"/>
      <c r="F554" s="137"/>
    </row>
    <row r="555" spans="2:6">
      <c r="B555" s="137"/>
      <c r="F555" s="137"/>
    </row>
    <row r="556" spans="2:6">
      <c r="B556" s="137"/>
      <c r="F556" s="137"/>
    </row>
    <row r="557" spans="2:6">
      <c r="B557" s="137"/>
      <c r="F557" s="137"/>
    </row>
    <row r="558" spans="2:6">
      <c r="B558" s="137"/>
      <c r="F558" s="137"/>
    </row>
    <row r="559" spans="2:6">
      <c r="B559" s="137"/>
      <c r="F559" s="137"/>
    </row>
    <row r="560" spans="2:6">
      <c r="B560" s="137"/>
      <c r="F560" s="137"/>
    </row>
    <row r="561" spans="2:6">
      <c r="B561" s="137"/>
      <c r="F561" s="137"/>
    </row>
    <row r="562" spans="2:6">
      <c r="B562" s="137"/>
      <c r="F562" s="137"/>
    </row>
    <row r="563" spans="2:6">
      <c r="B563" s="137"/>
      <c r="F563" s="137"/>
    </row>
    <row r="564" spans="2:6">
      <c r="B564" s="137"/>
      <c r="F564" s="137"/>
    </row>
    <row r="565" spans="2:6">
      <c r="B565" s="137"/>
      <c r="F565" s="137"/>
    </row>
    <row r="566" spans="2:6">
      <c r="B566" s="137"/>
      <c r="F566" s="137"/>
    </row>
    <row r="567" spans="2:6">
      <c r="B567" s="137"/>
      <c r="F567" s="137"/>
    </row>
    <row r="568" spans="2:6">
      <c r="B568" s="137"/>
      <c r="F568" s="137"/>
    </row>
    <row r="569" spans="2:6">
      <c r="B569" s="137"/>
      <c r="F569" s="137"/>
    </row>
    <row r="570" spans="2:6">
      <c r="B570" s="137"/>
      <c r="F570" s="137"/>
    </row>
    <row r="571" spans="2:6">
      <c r="B571" s="137"/>
      <c r="F571" s="137"/>
    </row>
    <row r="572" spans="2:6">
      <c r="B572" s="137"/>
      <c r="F572" s="137"/>
    </row>
    <row r="573" spans="2:6">
      <c r="B573" s="137"/>
      <c r="F573" s="137"/>
    </row>
    <row r="574" spans="2:6">
      <c r="B574" s="137"/>
      <c r="F574" s="137"/>
    </row>
    <row r="575" spans="2:6">
      <c r="B575" s="137"/>
      <c r="F575" s="137"/>
    </row>
    <row r="576" spans="2:6">
      <c r="B576" s="137"/>
      <c r="F576" s="137"/>
    </row>
    <row r="577" spans="2:6">
      <c r="B577" s="137"/>
      <c r="F577" s="137"/>
    </row>
    <row r="578" spans="2:6">
      <c r="B578" s="137"/>
      <c r="F578" s="137"/>
    </row>
    <row r="579" spans="2:6">
      <c r="B579" s="137"/>
      <c r="F579" s="137"/>
    </row>
    <row r="580" spans="2:6">
      <c r="B580" s="137"/>
      <c r="F580" s="137"/>
    </row>
    <row r="581" spans="2:6">
      <c r="B581" s="137"/>
      <c r="F581" s="137"/>
    </row>
    <row r="582" spans="2:6">
      <c r="B582" s="137"/>
      <c r="F582" s="137"/>
    </row>
    <row r="583" spans="2:6">
      <c r="B583" s="137"/>
      <c r="F583" s="137"/>
    </row>
    <row r="584" spans="2:6">
      <c r="B584" s="137"/>
      <c r="F584" s="137"/>
    </row>
    <row r="585" spans="2:6">
      <c r="B585" s="137"/>
      <c r="F585" s="137"/>
    </row>
    <row r="586" spans="2:6">
      <c r="B586" s="137"/>
      <c r="F586" s="137"/>
    </row>
    <row r="587" spans="2:6">
      <c r="B587" s="137"/>
      <c r="F587" s="137"/>
    </row>
    <row r="588" spans="2:6">
      <c r="B588" s="137"/>
      <c r="F588" s="137"/>
    </row>
    <row r="589" spans="2:6">
      <c r="B589" s="137"/>
      <c r="F589" s="137"/>
    </row>
    <row r="590" spans="2:6">
      <c r="B590" s="137"/>
      <c r="F590" s="137"/>
    </row>
    <row r="591" spans="2:6">
      <c r="B591" s="137"/>
      <c r="F591" s="137"/>
    </row>
    <row r="592" spans="2:6">
      <c r="B592" s="137"/>
      <c r="F592" s="137"/>
    </row>
    <row r="593" spans="2:6">
      <c r="B593" s="137"/>
      <c r="F593" s="137"/>
    </row>
    <row r="594" spans="2:6">
      <c r="B594" s="137"/>
      <c r="F594" s="137"/>
    </row>
    <row r="595" spans="2:6">
      <c r="B595" s="137"/>
      <c r="F595" s="137"/>
    </row>
    <row r="596" spans="2:6">
      <c r="B596" s="137"/>
      <c r="F596" s="137"/>
    </row>
    <row r="597" spans="2:6">
      <c r="B597" s="137"/>
      <c r="F597" s="137"/>
    </row>
    <row r="598" spans="2:6">
      <c r="B598" s="137"/>
      <c r="F598" s="137"/>
    </row>
    <row r="599" spans="2:6">
      <c r="B599" s="137"/>
      <c r="F599" s="137"/>
    </row>
    <row r="600" spans="2:6">
      <c r="B600" s="137"/>
      <c r="F600" s="137"/>
    </row>
    <row r="601" spans="2:6">
      <c r="B601" s="137"/>
      <c r="F601" s="137"/>
    </row>
    <row r="602" spans="2:6">
      <c r="B602" s="137"/>
      <c r="F602" s="137"/>
    </row>
    <row r="603" spans="2:6">
      <c r="B603" s="137"/>
      <c r="F603" s="137"/>
    </row>
    <row r="604" spans="2:6">
      <c r="B604" s="137"/>
      <c r="F604" s="137"/>
    </row>
    <row r="605" spans="2:6">
      <c r="B605" s="137"/>
      <c r="F605" s="137"/>
    </row>
    <row r="606" spans="2:6">
      <c r="B606" s="137"/>
      <c r="F606" s="137"/>
    </row>
    <row r="607" spans="2:6">
      <c r="B607" s="137"/>
      <c r="F607" s="137"/>
    </row>
    <row r="608" spans="2:6">
      <c r="B608" s="137"/>
      <c r="F608" s="137"/>
    </row>
    <row r="609" spans="2:6">
      <c r="B609" s="137"/>
      <c r="F609" s="137"/>
    </row>
    <row r="610" spans="2:6">
      <c r="B610" s="137"/>
      <c r="F610" s="137"/>
    </row>
    <row r="611" spans="2:6">
      <c r="B611" s="137"/>
      <c r="F611" s="137"/>
    </row>
    <row r="612" spans="2:6">
      <c r="B612" s="137"/>
      <c r="F612" s="137"/>
    </row>
    <row r="613" spans="2:6">
      <c r="B613" s="137"/>
      <c r="F613" s="137"/>
    </row>
    <row r="614" spans="2:6">
      <c r="B614" s="137"/>
      <c r="F614" s="137"/>
    </row>
    <row r="615" spans="2:6">
      <c r="B615" s="137"/>
      <c r="F615" s="137"/>
    </row>
    <row r="616" spans="2:6">
      <c r="B616" s="137"/>
      <c r="F616" s="137"/>
    </row>
    <row r="617" spans="2:6">
      <c r="B617" s="137"/>
      <c r="F617" s="137"/>
    </row>
    <row r="618" spans="2:6">
      <c r="B618" s="137"/>
      <c r="F618" s="137"/>
    </row>
    <row r="619" spans="2:6">
      <c r="B619" s="137"/>
      <c r="F619" s="137"/>
    </row>
    <row r="620" spans="2:6">
      <c r="B620" s="137"/>
      <c r="F620" s="137"/>
    </row>
    <row r="621" spans="2:6">
      <c r="B621" s="137"/>
      <c r="F621" s="137"/>
    </row>
    <row r="622" spans="2:6">
      <c r="B622" s="137"/>
      <c r="F622" s="137"/>
    </row>
    <row r="623" spans="2:6">
      <c r="B623" s="137"/>
      <c r="F623" s="137"/>
    </row>
    <row r="624" spans="2:6">
      <c r="B624" s="137"/>
      <c r="F624" s="137"/>
    </row>
    <row r="625" spans="2:6">
      <c r="B625" s="137"/>
      <c r="F625" s="137"/>
    </row>
    <row r="626" spans="2:6">
      <c r="B626" s="137"/>
      <c r="F626" s="137"/>
    </row>
    <row r="627" spans="2:6">
      <c r="B627" s="137"/>
      <c r="F627" s="137"/>
    </row>
    <row r="628" spans="2:6">
      <c r="B628" s="137"/>
      <c r="F628" s="137"/>
    </row>
    <row r="629" spans="2:6">
      <c r="B629" s="137"/>
      <c r="F629" s="137"/>
    </row>
    <row r="630" spans="2:6">
      <c r="B630" s="137"/>
      <c r="F630" s="137"/>
    </row>
    <row r="631" spans="2:6">
      <c r="B631" s="137"/>
      <c r="F631" s="137"/>
    </row>
    <row r="632" spans="2:6">
      <c r="B632" s="137"/>
      <c r="F632" s="137"/>
    </row>
    <row r="633" spans="2:6">
      <c r="B633" s="137"/>
      <c r="F633" s="137"/>
    </row>
    <row r="634" spans="2:6">
      <c r="B634" s="137"/>
      <c r="F634" s="137"/>
    </row>
    <row r="635" spans="2:6">
      <c r="B635" s="137"/>
      <c r="F635" s="137"/>
    </row>
    <row r="636" spans="2:6">
      <c r="B636" s="137"/>
      <c r="F636" s="137"/>
    </row>
    <row r="637" spans="2:6">
      <c r="B637" s="137"/>
      <c r="F637" s="137"/>
    </row>
    <row r="638" spans="2:6">
      <c r="B638" s="137"/>
      <c r="F638" s="137"/>
    </row>
    <row r="639" spans="2:6">
      <c r="B639" s="137"/>
      <c r="F639" s="137"/>
    </row>
    <row r="640" spans="2:6">
      <c r="B640" s="137"/>
      <c r="F640" s="137"/>
    </row>
    <row r="641" spans="2:6">
      <c r="B641" s="137"/>
      <c r="F641" s="137"/>
    </row>
    <row r="642" spans="2:6">
      <c r="B642" s="137"/>
      <c r="F642" s="137"/>
    </row>
    <row r="643" spans="2:6">
      <c r="B643" s="137"/>
      <c r="F643" s="137"/>
    </row>
    <row r="644" spans="2:6">
      <c r="B644" s="137"/>
      <c r="F644" s="137"/>
    </row>
    <row r="645" spans="2:6">
      <c r="B645" s="137"/>
      <c r="F645" s="137"/>
    </row>
    <row r="646" spans="2:6">
      <c r="B646" s="137"/>
      <c r="F646" s="137"/>
    </row>
    <row r="647" spans="2:6">
      <c r="B647" s="137"/>
      <c r="F647" s="137"/>
    </row>
    <row r="648" spans="2:6">
      <c r="B648" s="137"/>
      <c r="F648" s="137"/>
    </row>
    <row r="649" spans="2:6">
      <c r="B649" s="137"/>
      <c r="F649" s="137"/>
    </row>
    <row r="650" spans="2:6">
      <c r="B650" s="137"/>
      <c r="F650" s="137"/>
    </row>
    <row r="651" spans="2:6">
      <c r="B651" s="137"/>
      <c r="F651" s="137"/>
    </row>
    <row r="652" spans="2:6">
      <c r="B652" s="137"/>
      <c r="F652" s="137"/>
    </row>
    <row r="653" spans="2:6">
      <c r="B653" s="137"/>
      <c r="F653" s="137"/>
    </row>
    <row r="654" spans="2:6">
      <c r="B654" s="137"/>
      <c r="F654" s="137"/>
    </row>
    <row r="655" spans="2:6">
      <c r="B655" s="137"/>
      <c r="F655" s="137"/>
    </row>
    <row r="656" spans="2:6">
      <c r="B656" s="137"/>
      <c r="F656" s="137"/>
    </row>
    <row r="657" spans="2:6">
      <c r="B657" s="137"/>
      <c r="F657" s="137"/>
    </row>
    <row r="658" spans="2:6">
      <c r="B658" s="137"/>
      <c r="F658" s="137"/>
    </row>
    <row r="659" spans="2:6">
      <c r="B659" s="137"/>
      <c r="F659" s="137"/>
    </row>
    <row r="660" spans="2:6">
      <c r="B660" s="137"/>
      <c r="F660" s="137"/>
    </row>
    <row r="661" spans="2:6">
      <c r="B661" s="137"/>
      <c r="F661" s="137"/>
    </row>
    <row r="662" spans="2:6">
      <c r="B662" s="137"/>
      <c r="F662" s="137"/>
    </row>
    <row r="663" spans="2:6">
      <c r="B663" s="137"/>
      <c r="F663" s="137"/>
    </row>
    <row r="664" spans="2:6">
      <c r="B664" s="137"/>
      <c r="F664" s="137"/>
    </row>
    <row r="665" spans="2:6">
      <c r="B665" s="137"/>
      <c r="F665" s="137"/>
    </row>
    <row r="666" spans="2:6">
      <c r="B666" s="137"/>
      <c r="F666" s="137"/>
    </row>
    <row r="667" spans="2:6">
      <c r="B667" s="137"/>
      <c r="F667" s="137"/>
    </row>
    <row r="668" spans="2:6">
      <c r="B668" s="137"/>
      <c r="F668" s="137"/>
    </row>
    <row r="669" spans="2:6">
      <c r="B669" s="137"/>
      <c r="F669" s="137"/>
    </row>
    <row r="670" spans="2:6">
      <c r="B670" s="137"/>
      <c r="F670" s="137"/>
    </row>
    <row r="671" spans="2:6">
      <c r="B671" s="137"/>
      <c r="F671" s="137"/>
    </row>
    <row r="672" spans="2:6">
      <c r="B672" s="137"/>
      <c r="F672" s="137"/>
    </row>
    <row r="673" spans="2:6">
      <c r="B673" s="137"/>
      <c r="F673" s="137"/>
    </row>
    <row r="674" spans="2:6">
      <c r="B674" s="137"/>
      <c r="F674" s="137"/>
    </row>
    <row r="675" spans="2:6">
      <c r="B675" s="137"/>
      <c r="F675" s="137"/>
    </row>
    <row r="676" spans="2:6">
      <c r="B676" s="137"/>
      <c r="F676" s="137"/>
    </row>
    <row r="677" spans="2:6">
      <c r="B677" s="137"/>
      <c r="F677" s="137"/>
    </row>
    <row r="678" spans="2:6">
      <c r="B678" s="137"/>
      <c r="F678" s="137"/>
    </row>
    <row r="679" spans="2:6">
      <c r="B679" s="137"/>
      <c r="F679" s="137"/>
    </row>
    <row r="680" spans="2:6">
      <c r="B680" s="137"/>
      <c r="F680" s="137"/>
    </row>
    <row r="681" spans="2:6">
      <c r="B681" s="137"/>
      <c r="F681" s="137"/>
    </row>
    <row r="682" spans="2:6">
      <c r="B682" s="137"/>
      <c r="F682" s="137"/>
    </row>
    <row r="683" spans="2:6">
      <c r="B683" s="137"/>
      <c r="F683" s="137"/>
    </row>
    <row r="684" spans="2:6">
      <c r="B684" s="137"/>
      <c r="F684" s="137"/>
    </row>
    <row r="685" spans="2:6">
      <c r="B685" s="137"/>
      <c r="F685" s="137"/>
    </row>
    <row r="686" spans="2:6">
      <c r="B686" s="137"/>
      <c r="F686" s="137"/>
    </row>
    <row r="687" spans="2:6">
      <c r="B687" s="137"/>
      <c r="F687" s="137"/>
    </row>
    <row r="688" spans="2:6">
      <c r="B688" s="137"/>
      <c r="F688" s="137"/>
    </row>
    <row r="689" spans="2:6">
      <c r="B689" s="137"/>
      <c r="F689" s="137"/>
    </row>
    <row r="690" spans="2:6">
      <c r="B690" s="137"/>
      <c r="F690" s="137"/>
    </row>
    <row r="691" spans="2:6">
      <c r="B691" s="137"/>
      <c r="F691" s="137"/>
    </row>
    <row r="692" spans="2:6">
      <c r="B692" s="137"/>
      <c r="F692" s="137"/>
    </row>
    <row r="693" spans="2:6">
      <c r="B693" s="137"/>
      <c r="F693" s="137"/>
    </row>
    <row r="694" spans="2:6">
      <c r="B694" s="137"/>
      <c r="F694" s="137"/>
    </row>
    <row r="695" spans="2:6">
      <c r="B695" s="137"/>
      <c r="F695" s="137"/>
    </row>
    <row r="696" spans="2:6">
      <c r="B696" s="137"/>
      <c r="F696" s="137"/>
    </row>
    <row r="697" spans="2:6">
      <c r="B697" s="137"/>
      <c r="F697" s="137"/>
    </row>
    <row r="698" spans="2:6">
      <c r="B698" s="137"/>
      <c r="F698" s="137"/>
    </row>
    <row r="699" spans="2:6">
      <c r="B699" s="137"/>
      <c r="F699" s="137"/>
    </row>
    <row r="700" spans="2:6">
      <c r="B700" s="137"/>
      <c r="F700" s="137"/>
    </row>
    <row r="701" spans="2:6">
      <c r="B701" s="137"/>
      <c r="F701" s="137"/>
    </row>
    <row r="702" spans="2:6">
      <c r="B702" s="137"/>
      <c r="F702" s="137"/>
    </row>
    <row r="703" spans="2:6">
      <c r="B703" s="137"/>
      <c r="F703" s="137"/>
    </row>
    <row r="704" spans="2:6">
      <c r="B704" s="137"/>
      <c r="F704" s="137"/>
    </row>
    <row r="705" spans="2:6">
      <c r="B705" s="137"/>
      <c r="F705" s="137"/>
    </row>
    <row r="706" spans="2:6">
      <c r="B706" s="137"/>
      <c r="F706" s="137"/>
    </row>
    <row r="707" spans="2:6">
      <c r="B707" s="137"/>
      <c r="F707" s="137"/>
    </row>
    <row r="708" spans="2:6">
      <c r="B708" s="137"/>
      <c r="F708" s="137"/>
    </row>
    <row r="709" spans="2:6">
      <c r="B709" s="137"/>
      <c r="F709" s="137"/>
    </row>
    <row r="710" spans="2:6">
      <c r="B710" s="137"/>
      <c r="F710" s="137"/>
    </row>
    <row r="711" spans="2:6">
      <c r="B711" s="137"/>
      <c r="F711" s="137"/>
    </row>
    <row r="712" spans="2:6">
      <c r="B712" s="137"/>
      <c r="F712" s="137"/>
    </row>
    <row r="713" spans="2:6">
      <c r="B713" s="137"/>
      <c r="F713" s="137"/>
    </row>
    <row r="714" spans="2:6">
      <c r="B714" s="137"/>
      <c r="F714" s="137"/>
    </row>
    <row r="715" spans="2:6">
      <c r="B715" s="137"/>
      <c r="F715" s="137"/>
    </row>
    <row r="716" spans="2:6">
      <c r="B716" s="137"/>
      <c r="F716" s="137"/>
    </row>
    <row r="717" spans="2:6">
      <c r="B717" s="137"/>
      <c r="F717" s="137"/>
    </row>
    <row r="718" spans="2:6">
      <c r="B718" s="137"/>
      <c r="F718" s="137"/>
    </row>
    <row r="719" spans="2:6">
      <c r="B719" s="137"/>
      <c r="F719" s="137"/>
    </row>
    <row r="720" spans="2:6">
      <c r="B720" s="137"/>
      <c r="F720" s="137"/>
    </row>
    <row r="721" spans="2:6">
      <c r="B721" s="137"/>
      <c r="F721" s="137"/>
    </row>
    <row r="722" spans="2:6">
      <c r="B722" s="137"/>
      <c r="F722" s="137"/>
    </row>
    <row r="723" spans="2:6">
      <c r="B723" s="137"/>
      <c r="F723" s="137"/>
    </row>
    <row r="724" spans="2:6">
      <c r="B724" s="137"/>
      <c r="F724" s="137"/>
    </row>
    <row r="725" spans="2:6">
      <c r="B725" s="137"/>
      <c r="F725" s="137"/>
    </row>
    <row r="726" spans="2:6">
      <c r="B726" s="137"/>
      <c r="F726" s="137"/>
    </row>
    <row r="727" spans="2:6">
      <c r="B727" s="137"/>
      <c r="F727" s="137"/>
    </row>
    <row r="728" spans="2:6">
      <c r="B728" s="137"/>
      <c r="F728" s="137"/>
    </row>
    <row r="729" spans="2:6">
      <c r="B729" s="137"/>
      <c r="F729" s="137"/>
    </row>
    <row r="730" spans="2:6">
      <c r="B730" s="137"/>
      <c r="F730" s="137"/>
    </row>
    <row r="731" spans="2:6">
      <c r="B731" s="137"/>
      <c r="F731" s="137"/>
    </row>
    <row r="732" spans="2:6">
      <c r="B732" s="137"/>
      <c r="F732" s="137"/>
    </row>
    <row r="733" spans="2:6">
      <c r="B733" s="137"/>
      <c r="F733" s="137"/>
    </row>
    <row r="734" spans="2:6">
      <c r="B734" s="137"/>
      <c r="F734" s="137"/>
    </row>
    <row r="735" spans="2:6">
      <c r="B735" s="137"/>
      <c r="F735" s="137"/>
    </row>
    <row r="736" spans="2:6">
      <c r="B736" s="137"/>
      <c r="F736" s="137"/>
    </row>
    <row r="737" spans="2:6">
      <c r="B737" s="137"/>
      <c r="F737" s="137"/>
    </row>
    <row r="738" spans="2:6">
      <c r="B738" s="137"/>
      <c r="F738" s="137"/>
    </row>
    <row r="739" spans="2:6">
      <c r="B739" s="137"/>
      <c r="F739" s="137"/>
    </row>
    <row r="740" spans="2:6">
      <c r="B740" s="137"/>
      <c r="F740" s="137"/>
    </row>
    <row r="741" spans="2:6">
      <c r="B741" s="137"/>
      <c r="F741" s="137"/>
    </row>
    <row r="742" spans="2:6">
      <c r="B742" s="137"/>
      <c r="F742" s="137"/>
    </row>
    <row r="743" spans="2:6">
      <c r="B743" s="137"/>
      <c r="F743" s="137"/>
    </row>
    <row r="744" spans="2:6">
      <c r="B744" s="137"/>
      <c r="F744" s="137"/>
    </row>
    <row r="745" spans="2:6">
      <c r="B745" s="137"/>
      <c r="F745" s="137"/>
    </row>
    <row r="746" spans="2:6">
      <c r="B746" s="137"/>
      <c r="F746" s="137"/>
    </row>
    <row r="747" spans="2:6">
      <c r="B747" s="137"/>
      <c r="F747" s="137"/>
    </row>
    <row r="748" spans="2:6">
      <c r="B748" s="137"/>
      <c r="F748" s="137"/>
    </row>
    <row r="749" spans="2:6">
      <c r="B749" s="137"/>
      <c r="F749" s="137"/>
    </row>
    <row r="750" spans="2:6">
      <c r="B750" s="137"/>
      <c r="F750" s="137"/>
    </row>
    <row r="751" spans="2:6">
      <c r="B751" s="137"/>
      <c r="F751" s="137"/>
    </row>
    <row r="752" spans="2:6">
      <c r="B752" s="137"/>
      <c r="F752" s="137"/>
    </row>
    <row r="753" spans="2:6">
      <c r="B753" s="137"/>
      <c r="F753" s="137"/>
    </row>
    <row r="754" spans="2:6">
      <c r="B754" s="137"/>
      <c r="F754" s="137"/>
    </row>
    <row r="755" spans="2:6">
      <c r="B755" s="137"/>
      <c r="F755" s="137"/>
    </row>
    <row r="756" spans="2:6">
      <c r="B756" s="137"/>
      <c r="F756" s="137"/>
    </row>
    <row r="757" spans="2:6">
      <c r="B757" s="137"/>
      <c r="F757" s="137"/>
    </row>
    <row r="758" spans="2:6">
      <c r="B758" s="137"/>
      <c r="F758" s="137"/>
    </row>
    <row r="759" spans="2:6">
      <c r="B759" s="137"/>
      <c r="F759" s="137"/>
    </row>
    <row r="760" spans="2:6">
      <c r="B760" s="137"/>
      <c r="F760" s="137"/>
    </row>
    <row r="761" spans="2:6">
      <c r="B761" s="137"/>
      <c r="F761" s="137"/>
    </row>
    <row r="762" spans="2:6">
      <c r="B762" s="137"/>
      <c r="F762" s="137"/>
    </row>
    <row r="763" spans="2:6">
      <c r="B763" s="137"/>
      <c r="F763" s="137"/>
    </row>
    <row r="764" spans="2:6">
      <c r="B764" s="137"/>
      <c r="F764" s="137"/>
    </row>
    <row r="765" spans="2:6">
      <c r="B765" s="137"/>
      <c r="F765" s="137"/>
    </row>
    <row r="766" spans="2:6">
      <c r="B766" s="137"/>
      <c r="F766" s="137"/>
    </row>
    <row r="767" spans="2:6">
      <c r="B767" s="137"/>
      <c r="F767" s="137"/>
    </row>
    <row r="768" spans="2:6">
      <c r="B768" s="137"/>
      <c r="F768" s="137"/>
    </row>
    <row r="769" spans="2:6">
      <c r="B769" s="137"/>
      <c r="F769" s="137"/>
    </row>
    <row r="770" spans="2:6">
      <c r="B770" s="137"/>
      <c r="F770" s="137"/>
    </row>
    <row r="771" spans="2:6">
      <c r="B771" s="137"/>
      <c r="F771" s="137"/>
    </row>
    <row r="772" spans="2:6">
      <c r="B772" s="137"/>
      <c r="F772" s="137"/>
    </row>
    <row r="773" spans="2:6">
      <c r="B773" s="137"/>
      <c r="F773" s="137"/>
    </row>
    <row r="774" spans="2:6">
      <c r="B774" s="137"/>
      <c r="F774" s="137"/>
    </row>
    <row r="775" spans="2:6">
      <c r="B775" s="137"/>
      <c r="F775" s="137"/>
    </row>
    <row r="776" spans="2:6">
      <c r="B776" s="137"/>
      <c r="F776" s="137"/>
    </row>
    <row r="777" spans="2:6">
      <c r="B777" s="137"/>
      <c r="F777" s="137"/>
    </row>
    <row r="778" spans="2:6">
      <c r="B778" s="137"/>
      <c r="F778" s="137"/>
    </row>
    <row r="779" spans="2:6">
      <c r="B779" s="137"/>
      <c r="F779" s="137"/>
    </row>
    <row r="780" spans="2:6">
      <c r="B780" s="137"/>
      <c r="F780" s="137"/>
    </row>
    <row r="781" spans="2:6">
      <c r="B781" s="137"/>
      <c r="F781" s="137"/>
    </row>
    <row r="782" spans="2:6">
      <c r="B782" s="137"/>
      <c r="F782" s="137"/>
    </row>
    <row r="783" spans="2:6">
      <c r="B783" s="137"/>
      <c r="F783" s="137"/>
    </row>
    <row r="784" spans="2:6">
      <c r="B784" s="137"/>
      <c r="F784" s="137"/>
    </row>
    <row r="785" spans="2:6">
      <c r="B785" s="137"/>
      <c r="F785" s="137"/>
    </row>
    <row r="786" spans="2:6">
      <c r="B786" s="137"/>
      <c r="F786" s="137"/>
    </row>
    <row r="787" spans="2:6">
      <c r="B787" s="137"/>
      <c r="F787" s="137"/>
    </row>
    <row r="788" spans="2:6">
      <c r="B788" s="137"/>
      <c r="F788" s="137"/>
    </row>
    <row r="789" spans="2:6">
      <c r="B789" s="137"/>
      <c r="F789" s="137"/>
    </row>
    <row r="790" spans="2:6">
      <c r="B790" s="137"/>
      <c r="F790" s="137"/>
    </row>
    <row r="791" spans="2:6">
      <c r="B791" s="137"/>
      <c r="F791" s="137"/>
    </row>
    <row r="792" spans="2:6">
      <c r="B792" s="137"/>
      <c r="F792" s="137"/>
    </row>
    <row r="793" spans="2:6">
      <c r="B793" s="137"/>
      <c r="F793" s="137"/>
    </row>
    <row r="794" spans="2:6">
      <c r="B794" s="137"/>
      <c r="F794" s="137"/>
    </row>
    <row r="795" spans="2:6">
      <c r="B795" s="137"/>
      <c r="F795" s="137"/>
    </row>
    <row r="796" spans="2:6">
      <c r="B796" s="137"/>
      <c r="F796" s="137"/>
    </row>
    <row r="797" spans="2:6">
      <c r="B797" s="137"/>
      <c r="F797" s="137"/>
    </row>
    <row r="798" spans="2:6">
      <c r="B798" s="137"/>
      <c r="F798" s="137"/>
    </row>
    <row r="799" spans="2:6">
      <c r="B799" s="137"/>
      <c r="F799" s="137"/>
    </row>
    <row r="800" spans="2:6">
      <c r="B800" s="137"/>
      <c r="F800" s="137"/>
    </row>
    <row r="801" spans="2:6">
      <c r="B801" s="137"/>
      <c r="F801" s="137"/>
    </row>
    <row r="802" spans="2:6">
      <c r="B802" s="137"/>
      <c r="F802" s="137"/>
    </row>
    <row r="803" spans="2:6">
      <c r="B803" s="137"/>
      <c r="F803" s="137"/>
    </row>
    <row r="804" spans="2:6">
      <c r="B804" s="137"/>
      <c r="F804" s="137"/>
    </row>
    <row r="805" spans="2:6">
      <c r="B805" s="137"/>
      <c r="F805" s="137"/>
    </row>
    <row r="806" spans="2:6">
      <c r="B806" s="137"/>
      <c r="F806" s="137"/>
    </row>
    <row r="807" spans="2:6">
      <c r="B807" s="137"/>
      <c r="F807" s="137"/>
    </row>
    <row r="808" spans="2:6">
      <c r="B808" s="137"/>
      <c r="F808" s="137"/>
    </row>
    <row r="809" spans="2:6">
      <c r="B809" s="137"/>
      <c r="F809" s="137"/>
    </row>
    <row r="810" spans="2:6">
      <c r="B810" s="137"/>
      <c r="F810" s="137"/>
    </row>
    <row r="811" spans="2:6">
      <c r="B811" s="137"/>
      <c r="F811" s="137"/>
    </row>
    <row r="812" spans="2:6">
      <c r="B812" s="137"/>
      <c r="F812" s="137"/>
    </row>
    <row r="813" spans="2:6">
      <c r="B813" s="137"/>
      <c r="F813" s="137"/>
    </row>
    <row r="814" spans="2:6">
      <c r="B814" s="137"/>
      <c r="F814" s="137"/>
    </row>
    <row r="815" spans="2:6">
      <c r="B815" s="137"/>
      <c r="F815" s="137"/>
    </row>
    <row r="816" spans="2:6">
      <c r="B816" s="137"/>
      <c r="F816" s="137"/>
    </row>
    <row r="817" spans="2:6">
      <c r="B817" s="137"/>
      <c r="F817" s="137"/>
    </row>
    <row r="818" spans="2:6">
      <c r="B818" s="137"/>
      <c r="F818" s="137"/>
    </row>
    <row r="819" spans="2:6">
      <c r="B819" s="137"/>
      <c r="F819" s="137"/>
    </row>
    <row r="820" spans="2:6">
      <c r="B820" s="137"/>
      <c r="F820" s="137"/>
    </row>
    <row r="821" spans="2:6">
      <c r="B821" s="137"/>
      <c r="F821" s="137"/>
    </row>
    <row r="822" spans="2:6">
      <c r="B822" s="137"/>
      <c r="F822" s="137"/>
    </row>
    <row r="823" spans="2:6">
      <c r="B823" s="137"/>
      <c r="F823" s="137"/>
    </row>
    <row r="824" spans="2:6">
      <c r="B824" s="137"/>
      <c r="F824" s="137"/>
    </row>
    <row r="825" spans="2:6">
      <c r="B825" s="137"/>
      <c r="F825" s="137"/>
    </row>
    <row r="826" spans="2:6">
      <c r="B826" s="137"/>
      <c r="F826" s="137"/>
    </row>
    <row r="827" spans="2:6">
      <c r="B827" s="137"/>
      <c r="F827" s="137"/>
    </row>
    <row r="828" spans="2:6">
      <c r="B828" s="137"/>
      <c r="F828" s="137"/>
    </row>
    <row r="829" spans="2:6">
      <c r="B829" s="137"/>
      <c r="F829" s="137"/>
    </row>
    <row r="830" spans="2:6">
      <c r="B830" s="137"/>
      <c r="F830" s="137"/>
    </row>
    <row r="831" spans="2:6">
      <c r="B831" s="137"/>
      <c r="F831" s="137"/>
    </row>
    <row r="832" spans="2:6">
      <c r="B832" s="137"/>
      <c r="F832" s="137"/>
    </row>
    <row r="833" spans="2:6">
      <c r="B833" s="137"/>
      <c r="F833" s="137"/>
    </row>
    <row r="834" spans="2:6">
      <c r="B834" s="137"/>
      <c r="F834" s="137"/>
    </row>
    <row r="835" spans="2:6">
      <c r="B835" s="137"/>
      <c r="F835" s="137"/>
    </row>
    <row r="836" spans="2:6">
      <c r="B836" s="137"/>
      <c r="F836" s="137"/>
    </row>
    <row r="837" spans="2:6">
      <c r="B837" s="137"/>
      <c r="F837" s="137"/>
    </row>
    <row r="838" spans="2:6">
      <c r="B838" s="137"/>
      <c r="F838" s="137"/>
    </row>
    <row r="839" spans="2:6">
      <c r="B839" s="137"/>
      <c r="F839" s="137"/>
    </row>
    <row r="840" spans="2:6">
      <c r="B840" s="137"/>
      <c r="F840" s="137"/>
    </row>
    <row r="841" spans="2:6">
      <c r="B841" s="137"/>
      <c r="F841" s="137"/>
    </row>
    <row r="842" spans="2:6">
      <c r="B842" s="137"/>
      <c r="F842" s="137"/>
    </row>
    <row r="843" spans="2:6">
      <c r="B843" s="137"/>
      <c r="F843" s="137"/>
    </row>
    <row r="844" spans="2:6">
      <c r="B844" s="137"/>
      <c r="F844" s="137"/>
    </row>
    <row r="845" spans="2:6">
      <c r="B845" s="137"/>
      <c r="F845" s="137"/>
    </row>
    <row r="846" spans="2:6">
      <c r="B846" s="137"/>
      <c r="F846" s="137"/>
    </row>
    <row r="847" spans="2:6">
      <c r="B847" s="137"/>
      <c r="F847" s="137"/>
    </row>
    <row r="848" spans="2:6">
      <c r="B848" s="137"/>
      <c r="F848" s="137"/>
    </row>
    <row r="849" spans="2:6">
      <c r="B849" s="137"/>
      <c r="F849" s="137"/>
    </row>
    <row r="850" spans="2:6">
      <c r="B850" s="137"/>
      <c r="F850" s="137"/>
    </row>
    <row r="851" spans="2:6">
      <c r="B851" s="137"/>
      <c r="F851" s="137"/>
    </row>
    <row r="852" spans="2:6">
      <c r="B852" s="137"/>
      <c r="F852" s="137"/>
    </row>
    <row r="853" spans="2:6">
      <c r="B853" s="137"/>
      <c r="F853" s="137"/>
    </row>
    <row r="854" spans="2:6">
      <c r="B854" s="137"/>
      <c r="F854" s="137"/>
    </row>
    <row r="855" spans="2:6">
      <c r="B855" s="137"/>
      <c r="F855" s="137"/>
    </row>
    <row r="856" spans="2:6">
      <c r="B856" s="137"/>
      <c r="F856" s="137"/>
    </row>
    <row r="857" spans="2:6">
      <c r="B857" s="137"/>
      <c r="F857" s="137"/>
    </row>
    <row r="858" spans="2:6">
      <c r="B858" s="137"/>
      <c r="F858" s="137"/>
    </row>
    <row r="859" spans="2:6">
      <c r="B859" s="137"/>
      <c r="F859" s="137"/>
    </row>
    <row r="860" spans="2:6">
      <c r="B860" s="137"/>
      <c r="F860" s="137"/>
    </row>
    <row r="861" spans="2:6">
      <c r="B861" s="137"/>
      <c r="F861" s="137"/>
    </row>
    <row r="862" spans="2:6">
      <c r="B862" s="137"/>
      <c r="F862" s="137"/>
    </row>
    <row r="863" spans="2:6">
      <c r="B863" s="137"/>
      <c r="F863" s="137"/>
    </row>
    <row r="864" spans="2:6">
      <c r="B864" s="137"/>
      <c r="F864" s="137"/>
    </row>
    <row r="865" spans="2:6">
      <c r="B865" s="137"/>
      <c r="F865" s="137"/>
    </row>
    <row r="866" spans="2:6">
      <c r="B866" s="137"/>
      <c r="F866" s="137"/>
    </row>
    <row r="867" spans="2:6">
      <c r="B867" s="137"/>
      <c r="F867" s="137"/>
    </row>
    <row r="868" spans="2:6">
      <c r="B868" s="137"/>
      <c r="F868" s="137"/>
    </row>
    <row r="869" spans="2:6">
      <c r="B869" s="137"/>
      <c r="F869" s="137"/>
    </row>
    <row r="870" spans="2:6">
      <c r="B870" s="137"/>
      <c r="F870" s="137"/>
    </row>
    <row r="871" spans="2:6">
      <c r="B871" s="137"/>
      <c r="F871" s="137"/>
    </row>
    <row r="872" spans="2:6">
      <c r="B872" s="137"/>
      <c r="F872" s="137"/>
    </row>
    <row r="873" spans="2:6">
      <c r="B873" s="137"/>
      <c r="F873" s="137"/>
    </row>
    <row r="874" spans="2:6">
      <c r="B874" s="137"/>
      <c r="F874" s="137"/>
    </row>
    <row r="875" spans="2:6">
      <c r="B875" s="137"/>
      <c r="F875" s="137"/>
    </row>
    <row r="876" spans="2:6">
      <c r="B876" s="137"/>
      <c r="F876" s="137"/>
    </row>
    <row r="877" spans="2:6">
      <c r="B877" s="137"/>
      <c r="F877" s="137"/>
    </row>
    <row r="878" spans="2:6">
      <c r="B878" s="137"/>
      <c r="F878" s="137"/>
    </row>
    <row r="879" spans="2:6">
      <c r="B879" s="137"/>
      <c r="F879" s="137"/>
    </row>
    <row r="880" spans="2:6">
      <c r="B880" s="137"/>
      <c r="F880" s="137"/>
    </row>
    <row r="881" spans="2:6">
      <c r="B881" s="137"/>
      <c r="F881" s="137"/>
    </row>
    <row r="882" spans="2:6">
      <c r="B882" s="137"/>
      <c r="F882" s="137"/>
    </row>
    <row r="883" spans="2:6">
      <c r="B883" s="137"/>
      <c r="F883" s="137"/>
    </row>
    <row r="884" spans="2:6">
      <c r="B884" s="137"/>
      <c r="F884" s="137"/>
    </row>
    <row r="885" spans="2:6">
      <c r="B885" s="137"/>
      <c r="F885" s="137"/>
    </row>
    <row r="886" spans="2:6">
      <c r="B886" s="137"/>
      <c r="F886" s="137"/>
    </row>
    <row r="887" spans="2:6">
      <c r="B887" s="137"/>
      <c r="F887" s="137"/>
    </row>
    <row r="888" spans="2:6">
      <c r="B888" s="137"/>
      <c r="F888" s="137"/>
    </row>
    <row r="889" spans="2:6">
      <c r="B889" s="137"/>
      <c r="F889" s="137"/>
    </row>
    <row r="890" spans="2:6">
      <c r="B890" s="137"/>
      <c r="F890" s="137"/>
    </row>
    <row r="891" spans="2:6">
      <c r="B891" s="137"/>
      <c r="F891" s="137"/>
    </row>
    <row r="892" spans="2:6">
      <c r="B892" s="137"/>
      <c r="F892" s="137"/>
    </row>
    <row r="893" spans="2:6">
      <c r="B893" s="137"/>
      <c r="F893" s="137"/>
    </row>
    <row r="894" spans="2:6">
      <c r="B894" s="137"/>
      <c r="F894" s="137"/>
    </row>
    <row r="895" spans="2:6">
      <c r="B895" s="137"/>
      <c r="F895" s="137"/>
    </row>
    <row r="896" spans="2:6">
      <c r="B896" s="137"/>
      <c r="F896" s="137"/>
    </row>
    <row r="897" spans="2:6">
      <c r="B897" s="137"/>
      <c r="F897" s="137"/>
    </row>
    <row r="898" spans="2:6">
      <c r="B898" s="137"/>
      <c r="F898" s="137"/>
    </row>
    <row r="899" spans="2:6">
      <c r="B899" s="137"/>
      <c r="F899" s="137"/>
    </row>
    <row r="900" spans="2:6">
      <c r="B900" s="137"/>
      <c r="F900" s="137"/>
    </row>
    <row r="901" spans="2:6">
      <c r="B901" s="137"/>
      <c r="F901" s="137"/>
    </row>
    <row r="902" spans="2:6">
      <c r="B902" s="137"/>
      <c r="F902" s="137"/>
    </row>
    <row r="903" spans="2:6">
      <c r="B903" s="137"/>
      <c r="F903" s="137"/>
    </row>
    <row r="904" spans="2:6">
      <c r="B904" s="137"/>
      <c r="F904" s="137"/>
    </row>
    <row r="905" spans="2:6">
      <c r="B905" s="137"/>
      <c r="F905" s="137"/>
    </row>
    <row r="906" spans="2:6">
      <c r="B906" s="137"/>
      <c r="F906" s="137"/>
    </row>
    <row r="907" spans="2:6">
      <c r="B907" s="137"/>
      <c r="F907" s="137"/>
    </row>
    <row r="908" spans="2:6">
      <c r="B908" s="137"/>
      <c r="F908" s="137"/>
    </row>
    <row r="909" spans="2:6">
      <c r="B909" s="137"/>
      <c r="F909" s="137"/>
    </row>
    <row r="910" spans="2:6">
      <c r="B910" s="137"/>
      <c r="F910" s="137"/>
    </row>
    <row r="911" spans="2:6">
      <c r="B911" s="137"/>
      <c r="F911" s="137"/>
    </row>
    <row r="912" spans="2:6">
      <c r="B912" s="137"/>
      <c r="F912" s="137"/>
    </row>
    <row r="913" spans="2:6">
      <c r="B913" s="137"/>
      <c r="F913" s="137"/>
    </row>
    <row r="914" spans="2:6">
      <c r="B914" s="137"/>
      <c r="F914" s="137"/>
    </row>
    <row r="915" spans="2:6">
      <c r="B915" s="137"/>
      <c r="F915" s="137"/>
    </row>
    <row r="916" spans="2:6">
      <c r="B916" s="137"/>
      <c r="F916" s="137"/>
    </row>
    <row r="917" spans="2:6">
      <c r="B917" s="137"/>
      <c r="F917" s="137"/>
    </row>
    <row r="918" spans="2:6">
      <c r="B918" s="137"/>
      <c r="F918" s="137"/>
    </row>
    <row r="919" spans="2:6">
      <c r="B919" s="137"/>
      <c r="F919" s="137"/>
    </row>
    <row r="920" spans="2:6">
      <c r="B920" s="137"/>
      <c r="F920" s="137"/>
    </row>
    <row r="921" spans="2:6">
      <c r="B921" s="137"/>
      <c r="F921" s="137"/>
    </row>
    <row r="922" spans="2:6">
      <c r="B922" s="137"/>
      <c r="F922" s="137"/>
    </row>
    <row r="923" spans="2:6">
      <c r="B923" s="137"/>
      <c r="F923" s="137"/>
    </row>
    <row r="924" spans="2:6">
      <c r="B924" s="137"/>
      <c r="F924" s="137"/>
    </row>
    <row r="925" spans="2:6">
      <c r="B925" s="137"/>
      <c r="F925" s="137"/>
    </row>
    <row r="926" spans="2:6">
      <c r="B926" s="137"/>
      <c r="F926" s="137"/>
    </row>
    <row r="927" spans="2:6">
      <c r="B927" s="137"/>
      <c r="F927" s="137"/>
    </row>
    <row r="928" spans="2:6">
      <c r="B928" s="137"/>
      <c r="F928" s="137"/>
    </row>
    <row r="929" spans="2:6">
      <c r="B929" s="137"/>
      <c r="F929" s="137"/>
    </row>
    <row r="930" spans="2:6">
      <c r="B930" s="137"/>
      <c r="F930" s="137"/>
    </row>
    <row r="931" spans="2:6">
      <c r="B931" s="137"/>
      <c r="F931" s="137"/>
    </row>
    <row r="932" spans="2:6">
      <c r="B932" s="137"/>
      <c r="F932" s="137"/>
    </row>
    <row r="933" spans="2:6">
      <c r="B933" s="137"/>
      <c r="F933" s="137"/>
    </row>
    <row r="934" spans="2:6">
      <c r="B934" s="137"/>
      <c r="F934" s="137"/>
    </row>
    <row r="935" spans="2:6">
      <c r="B935" s="137"/>
      <c r="F935" s="137"/>
    </row>
    <row r="936" spans="2:6">
      <c r="B936" s="137"/>
      <c r="F936" s="137"/>
    </row>
    <row r="937" spans="2:6">
      <c r="B937" s="137"/>
      <c r="F937" s="137"/>
    </row>
    <row r="938" spans="2:6">
      <c r="B938" s="137"/>
      <c r="F938" s="137"/>
    </row>
    <row r="939" spans="2:6">
      <c r="B939" s="137"/>
      <c r="F939" s="137"/>
    </row>
    <row r="940" spans="2:6">
      <c r="B940" s="137"/>
      <c r="F940" s="137"/>
    </row>
    <row r="941" spans="2:6">
      <c r="B941" s="137"/>
      <c r="F941" s="137"/>
    </row>
    <row r="942" spans="2:6">
      <c r="B942" s="137"/>
      <c r="F942" s="137"/>
    </row>
    <row r="943" spans="2:6">
      <c r="B943" s="137"/>
      <c r="F943" s="137"/>
    </row>
    <row r="944" spans="2:6">
      <c r="B944" s="137"/>
      <c r="F944" s="137"/>
    </row>
    <row r="945" spans="2:6">
      <c r="B945" s="137"/>
      <c r="F945" s="137"/>
    </row>
    <row r="946" spans="2:6">
      <c r="B946" s="137"/>
      <c r="F946" s="137"/>
    </row>
    <row r="947" spans="2:6">
      <c r="B947" s="137"/>
      <c r="F947" s="137"/>
    </row>
    <row r="948" spans="2:6">
      <c r="B948" s="137"/>
      <c r="F948" s="137"/>
    </row>
    <row r="949" spans="2:6">
      <c r="B949" s="137"/>
      <c r="F949" s="137"/>
    </row>
    <row r="950" spans="2:6">
      <c r="B950" s="137"/>
      <c r="F950" s="137"/>
    </row>
    <row r="951" spans="2:6">
      <c r="B951" s="137"/>
      <c r="F951" s="137"/>
    </row>
    <row r="952" spans="2:6">
      <c r="B952" s="137"/>
      <c r="F952" s="137"/>
    </row>
    <row r="953" spans="2:6">
      <c r="B953" s="137"/>
      <c r="F953" s="137"/>
    </row>
    <row r="954" spans="2:6">
      <c r="B954" s="137"/>
      <c r="F954" s="137"/>
    </row>
    <row r="955" spans="2:6">
      <c r="B955" s="137"/>
      <c r="F955" s="137"/>
    </row>
    <row r="956" spans="2:6">
      <c r="B956" s="137"/>
      <c r="F956" s="137"/>
    </row>
    <row r="957" spans="2:6">
      <c r="B957" s="137"/>
      <c r="F957" s="137"/>
    </row>
    <row r="958" spans="2:6">
      <c r="B958" s="137"/>
      <c r="F958" s="137"/>
    </row>
    <row r="959" spans="2:6">
      <c r="B959" s="137"/>
      <c r="F959" s="137"/>
    </row>
    <row r="960" spans="2:6">
      <c r="B960" s="137"/>
      <c r="F960" s="137"/>
    </row>
    <row r="961" spans="2:6">
      <c r="B961" s="137"/>
      <c r="F961" s="137"/>
    </row>
    <row r="962" spans="2:6">
      <c r="B962" s="137"/>
      <c r="F962" s="137"/>
    </row>
    <row r="963" spans="2:6">
      <c r="B963" s="137"/>
      <c r="F963" s="137"/>
    </row>
    <row r="964" spans="2:6">
      <c r="B964" s="137"/>
      <c r="F964" s="137"/>
    </row>
    <row r="965" spans="2:6">
      <c r="B965" s="137"/>
      <c r="F965" s="137"/>
    </row>
    <row r="966" spans="2:6">
      <c r="B966" s="137"/>
      <c r="F966" s="137"/>
    </row>
    <row r="967" spans="2:6">
      <c r="B967" s="137"/>
      <c r="F967" s="137"/>
    </row>
    <row r="968" spans="2:6">
      <c r="B968" s="137"/>
      <c r="F968" s="137"/>
    </row>
    <row r="969" spans="2:6">
      <c r="B969" s="137"/>
      <c r="F969" s="137"/>
    </row>
    <row r="970" spans="2:6">
      <c r="B970" s="137"/>
      <c r="F970" s="137"/>
    </row>
    <row r="971" spans="2:6">
      <c r="B971" s="137"/>
      <c r="F971" s="137"/>
    </row>
    <row r="972" spans="2:6">
      <c r="B972" s="137"/>
      <c r="F972" s="137"/>
    </row>
    <row r="973" spans="2:6">
      <c r="B973" s="137"/>
      <c r="F973" s="137"/>
    </row>
    <row r="974" spans="2:6">
      <c r="B974" s="137"/>
      <c r="F974" s="137"/>
    </row>
    <row r="975" spans="2:6">
      <c r="B975" s="137"/>
      <c r="F975" s="137"/>
    </row>
    <row r="976" spans="2:6">
      <c r="B976" s="137"/>
      <c r="F976" s="137"/>
    </row>
    <row r="977" spans="2:6">
      <c r="B977" s="137"/>
      <c r="F977" s="137"/>
    </row>
    <row r="978" spans="2:6">
      <c r="B978" s="137"/>
      <c r="F978" s="137"/>
    </row>
    <row r="979" spans="2:6">
      <c r="B979" s="137"/>
      <c r="F979" s="137"/>
    </row>
    <row r="980" spans="2:6">
      <c r="B980" s="137"/>
      <c r="F980" s="137"/>
    </row>
    <row r="981" spans="2:6">
      <c r="B981" s="137"/>
      <c r="F981" s="137"/>
    </row>
    <row r="982" spans="2:6">
      <c r="B982" s="137"/>
      <c r="F982" s="137"/>
    </row>
    <row r="983" spans="2:6">
      <c r="B983" s="137"/>
      <c r="F983" s="137"/>
    </row>
    <row r="984" spans="2:6">
      <c r="B984" s="137"/>
      <c r="F984" s="137"/>
    </row>
    <row r="985" spans="2:6">
      <c r="B985" s="137"/>
      <c r="F985" s="137"/>
    </row>
    <row r="986" spans="2:6">
      <c r="B986" s="137"/>
      <c r="F986" s="137"/>
    </row>
    <row r="987" spans="2:6">
      <c r="B987" s="137"/>
      <c r="F987" s="137"/>
    </row>
    <row r="988" spans="2:6">
      <c r="B988" s="137"/>
      <c r="F988" s="137"/>
    </row>
    <row r="989" spans="2:6">
      <c r="B989" s="137"/>
      <c r="F989" s="137"/>
    </row>
    <row r="990" spans="2:6">
      <c r="B990" s="137"/>
      <c r="F990" s="137"/>
    </row>
    <row r="991" spans="2:6">
      <c r="B991" s="137"/>
      <c r="F991" s="137"/>
    </row>
    <row r="992" spans="2:6">
      <c r="B992" s="137"/>
      <c r="F992" s="137"/>
    </row>
    <row r="993" spans="2:6">
      <c r="B993" s="137"/>
      <c r="F993" s="137"/>
    </row>
    <row r="994" spans="2:6">
      <c r="B994" s="137"/>
      <c r="F994" s="137"/>
    </row>
    <row r="995" spans="2:6">
      <c r="B995" s="137"/>
      <c r="F995" s="137"/>
    </row>
    <row r="996" spans="2:6">
      <c r="B996" s="137"/>
      <c r="F996" s="137"/>
    </row>
    <row r="997" spans="2:6">
      <c r="B997" s="137"/>
      <c r="F997" s="137"/>
    </row>
    <row r="998" spans="2:6">
      <c r="B998" s="137"/>
      <c r="F998" s="137"/>
    </row>
    <row r="999" spans="2:6">
      <c r="B999" s="137"/>
      <c r="F999" s="137"/>
    </row>
    <row r="1000" spans="2:6">
      <c r="B1000" s="137"/>
      <c r="F1000" s="137"/>
    </row>
    <row r="1001" spans="2:6">
      <c r="B1001" s="137"/>
      <c r="F1001" s="137"/>
    </row>
    <row r="1002" spans="2:6">
      <c r="B1002" s="137"/>
      <c r="F1002" s="137"/>
    </row>
    <row r="1003" spans="2:6">
      <c r="B1003" s="137"/>
      <c r="F1003" s="137"/>
    </row>
    <row r="1004" spans="2:6">
      <c r="B1004" s="137"/>
      <c r="F1004" s="137"/>
    </row>
    <row r="1005" spans="2:6">
      <c r="B1005" s="137"/>
      <c r="F1005" s="137"/>
    </row>
    <row r="1006" spans="2:6">
      <c r="B1006" s="137"/>
      <c r="F1006" s="137"/>
    </row>
    <row r="1007" spans="2:6">
      <c r="B1007" s="137"/>
      <c r="F1007" s="137"/>
    </row>
    <row r="1008" spans="2:6">
      <c r="B1008" s="137"/>
      <c r="F1008" s="137"/>
    </row>
    <row r="1009" spans="2:6">
      <c r="B1009" s="137"/>
      <c r="F1009" s="137"/>
    </row>
    <row r="1010" spans="2:6">
      <c r="B1010" s="137"/>
      <c r="F1010" s="137"/>
    </row>
    <row r="1011" spans="2:6">
      <c r="B1011" s="137"/>
      <c r="F1011" s="137"/>
    </row>
    <row r="1012" spans="2:6">
      <c r="B1012" s="137"/>
      <c r="F1012" s="137"/>
    </row>
    <row r="1013" spans="2:6">
      <c r="B1013" s="137"/>
      <c r="F1013" s="137"/>
    </row>
    <row r="1014" spans="2:6">
      <c r="B1014" s="137"/>
      <c r="F1014" s="137"/>
    </row>
    <row r="1015" spans="2:6">
      <c r="B1015" s="137"/>
      <c r="F1015" s="137"/>
    </row>
    <row r="1016" spans="2:6">
      <c r="B1016" s="137"/>
      <c r="F1016" s="137"/>
    </row>
    <row r="1017" spans="2:6">
      <c r="B1017" s="137"/>
      <c r="F1017" s="137"/>
    </row>
    <row r="1018" spans="2:6">
      <c r="B1018" s="137"/>
    </row>
    <row r="1019" spans="2:6">
      <c r="B1019" s="137"/>
    </row>
    <row r="1020" spans="2:6">
      <c r="B1020" s="137"/>
    </row>
    <row r="1021" spans="2:6">
      <c r="B1021" s="137"/>
    </row>
    <row r="1022" spans="2:6">
      <c r="B1022" s="137"/>
    </row>
    <row r="1023" spans="2:6">
      <c r="B1023" s="137"/>
    </row>
    <row r="1024" spans="2:6">
      <c r="B1024" s="137"/>
    </row>
    <row r="1025" spans="2:2">
      <c r="B1025" s="137"/>
    </row>
    <row r="1026" spans="2:2">
      <c r="B1026" s="137"/>
    </row>
  </sheetData>
  <mergeCells count="5">
    <mergeCell ref="P19:R19"/>
    <mergeCell ref="C17:D17"/>
    <mergeCell ref="B19:D19"/>
    <mergeCell ref="F19:H19"/>
    <mergeCell ref="K19:M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"/>
  <sheetViews>
    <sheetView workbookViewId="0">
      <selection activeCell="E3" sqref="E3"/>
    </sheetView>
  </sheetViews>
  <sheetFormatPr defaultColWidth="8.7109375" defaultRowHeight="15.75"/>
  <cols>
    <col min="1" max="1" width="8.7109375" style="146"/>
    <col min="2" max="2" width="29.7109375" style="146" customWidth="1"/>
    <col min="3" max="3" width="22.28515625" style="146" customWidth="1"/>
    <col min="4" max="4" width="16.7109375" style="146" customWidth="1"/>
    <col min="5" max="5" width="20.7109375" style="146" customWidth="1"/>
    <col min="6" max="6" width="19.28515625" style="146" customWidth="1"/>
    <col min="7" max="7" width="19.85546875" style="146" customWidth="1"/>
    <col min="8" max="8" width="18.28515625" style="146" customWidth="1"/>
    <col min="9" max="9" width="21.42578125" style="146" customWidth="1"/>
    <col min="10" max="10" width="19.85546875" style="146" customWidth="1"/>
    <col min="11" max="11" width="8.7109375" style="146"/>
    <col min="12" max="12" width="15.5703125" style="146" customWidth="1"/>
    <col min="13" max="13" width="8.7109375" style="146"/>
    <col min="14" max="14" width="23.85546875" style="146" bestFit="1" customWidth="1"/>
    <col min="15" max="16384" width="8.7109375" style="146"/>
  </cols>
  <sheetData>
    <row r="1" spans="1:17">
      <c r="A1" s="144"/>
      <c r="B1" s="145" t="s">
        <v>264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</row>
    <row r="2" spans="1:17">
      <c r="A2" s="147"/>
      <c r="B2" s="148" t="s">
        <v>20</v>
      </c>
      <c r="C2" s="147"/>
      <c r="D2" s="147"/>
      <c r="E2" s="147"/>
      <c r="G2" s="149"/>
      <c r="H2" s="147"/>
      <c r="I2" s="147"/>
      <c r="J2" s="147"/>
      <c r="K2" s="147"/>
      <c r="L2" s="147"/>
      <c r="M2" s="147"/>
      <c r="N2" s="147"/>
      <c r="O2" s="147"/>
    </row>
    <row r="3" spans="1:17" ht="31.5">
      <c r="A3" s="147"/>
      <c r="B3" s="147"/>
      <c r="C3" s="146">
        <v>1</v>
      </c>
      <c r="D3" s="149" t="str">
        <f>IF(C3=A29,B29,B30)</f>
        <v>Bottoms Up beta</v>
      </c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</row>
    <row r="4" spans="1:17">
      <c r="A4" s="147"/>
      <c r="B4" s="150" t="s">
        <v>220</v>
      </c>
      <c r="C4" s="149"/>
      <c r="D4" s="149"/>
      <c r="E4" s="151"/>
      <c r="F4" s="150" t="s">
        <v>221</v>
      </c>
      <c r="G4" s="149"/>
      <c r="H4" s="147"/>
      <c r="I4" s="147"/>
      <c r="J4" s="152" t="s">
        <v>222</v>
      </c>
      <c r="K4" s="147"/>
      <c r="L4" s="147"/>
      <c r="M4" s="147"/>
      <c r="N4" s="147"/>
      <c r="O4" s="147"/>
    </row>
    <row r="5" spans="1:17">
      <c r="A5" s="147"/>
      <c r="B5" s="153" t="s">
        <v>223</v>
      </c>
      <c r="C5" s="154" t="s">
        <v>224</v>
      </c>
      <c r="D5" s="155" t="s">
        <v>225</v>
      </c>
      <c r="E5" s="151"/>
      <c r="F5" s="153" t="s">
        <v>223</v>
      </c>
      <c r="G5" s="154" t="s">
        <v>224</v>
      </c>
      <c r="H5" s="155" t="s">
        <v>225</v>
      </c>
      <c r="I5" s="147"/>
      <c r="J5" s="153" t="s">
        <v>223</v>
      </c>
      <c r="K5" s="155" t="s">
        <v>226</v>
      </c>
      <c r="L5" s="153" t="s">
        <v>223</v>
      </c>
      <c r="M5" s="155" t="s">
        <v>227</v>
      </c>
      <c r="N5" s="156" t="s">
        <v>225</v>
      </c>
      <c r="O5" s="147"/>
    </row>
    <row r="6" spans="1:17" ht="18" customHeight="1">
      <c r="A6" s="147"/>
      <c r="B6" s="157" t="s">
        <v>228</v>
      </c>
      <c r="C6" s="158" t="s">
        <v>229</v>
      </c>
      <c r="D6" s="159">
        <v>4.48E-2</v>
      </c>
      <c r="E6" s="160"/>
      <c r="F6" s="161" t="s">
        <v>230</v>
      </c>
      <c r="G6" s="162"/>
      <c r="H6" s="163">
        <f>Raw!E155</f>
        <v>5.8000000000000003E-2</v>
      </c>
      <c r="I6" s="164"/>
      <c r="J6" s="165" t="s">
        <v>231</v>
      </c>
      <c r="K6" s="166">
        <f>E24</f>
        <v>0.24543014634486401</v>
      </c>
      <c r="L6" s="167" t="s">
        <v>232</v>
      </c>
      <c r="M6" s="163">
        <f>H8</f>
        <v>4.5820000000000007E-2</v>
      </c>
      <c r="N6" s="381">
        <f>K6*M6</f>
        <v>1.1245609305521671E-2</v>
      </c>
      <c r="O6" s="147"/>
    </row>
    <row r="7" spans="1:17">
      <c r="A7" s="147"/>
      <c r="B7" s="169" t="s">
        <v>201</v>
      </c>
      <c r="C7" s="170"/>
      <c r="D7" s="171">
        <f>CHOOSE(C3,C29,C30)</f>
        <v>1.0400252974654289</v>
      </c>
      <c r="E7" s="160"/>
      <c r="F7" s="172" t="s">
        <v>233</v>
      </c>
      <c r="G7" s="173"/>
      <c r="H7" s="174">
        <v>0.21</v>
      </c>
      <c r="I7" s="164"/>
      <c r="J7" s="175" t="s">
        <v>234</v>
      </c>
      <c r="K7" s="176">
        <f>G24</f>
        <v>0.75456985365513607</v>
      </c>
      <c r="L7" s="177" t="s">
        <v>235</v>
      </c>
      <c r="M7" s="168">
        <f>D9</f>
        <v>8.9833095380253081E-2</v>
      </c>
      <c r="N7" s="381">
        <f>K7*M7</f>
        <v>6.7785345634465449E-2</v>
      </c>
      <c r="O7" s="147"/>
    </row>
    <row r="8" spans="1:17" ht="15" customHeight="1">
      <c r="A8" s="147"/>
      <c r="B8" s="178" t="s">
        <v>236</v>
      </c>
      <c r="C8" s="170"/>
      <c r="D8" s="380">
        <v>4.3299999999999998E-2</v>
      </c>
      <c r="E8" s="160"/>
      <c r="F8" s="179" t="s">
        <v>237</v>
      </c>
      <c r="G8" s="164"/>
      <c r="H8" s="168">
        <f>H6*(1-H7)</f>
        <v>4.5820000000000007E-2</v>
      </c>
      <c r="I8" s="164"/>
      <c r="J8" s="180" t="s">
        <v>238</v>
      </c>
      <c r="K8" s="181"/>
      <c r="L8" s="181"/>
      <c r="M8" s="181"/>
      <c r="N8" s="453">
        <f>N6+N7</f>
        <v>7.9030954939987116E-2</v>
      </c>
      <c r="O8" s="147"/>
    </row>
    <row r="9" spans="1:17" ht="16.5" thickBot="1">
      <c r="A9" s="147"/>
      <c r="B9" s="182" t="s">
        <v>239</v>
      </c>
      <c r="C9" s="183"/>
      <c r="D9" s="698">
        <f>D6+(D7*D8)</f>
        <v>8.9833095380253081E-2</v>
      </c>
      <c r="E9" s="160"/>
      <c r="F9" s="184"/>
      <c r="G9" s="164"/>
      <c r="H9" s="185"/>
      <c r="I9" s="164"/>
      <c r="J9" s="184"/>
      <c r="K9" s="186"/>
      <c r="L9" s="164"/>
      <c r="M9" s="164"/>
      <c r="N9" s="164"/>
      <c r="O9" s="147"/>
    </row>
    <row r="10" spans="1:17">
      <c r="A10" s="147"/>
      <c r="B10" s="187"/>
      <c r="C10" s="169"/>
      <c r="D10" s="188"/>
      <c r="E10" s="151"/>
      <c r="F10" s="147"/>
      <c r="G10" s="147"/>
      <c r="H10" s="147"/>
      <c r="I10" s="147"/>
      <c r="J10" s="147"/>
      <c r="K10" s="147"/>
      <c r="L10" s="147"/>
      <c r="M10" s="147"/>
      <c r="N10" s="147"/>
      <c r="O10" s="147"/>
    </row>
    <row r="11" spans="1:17">
      <c r="A11" s="147"/>
      <c r="B11" s="187"/>
      <c r="C11" s="169"/>
      <c r="D11" s="188"/>
      <c r="E11" s="151"/>
      <c r="F11" s="147"/>
      <c r="G11" s="147"/>
      <c r="H11" s="147"/>
      <c r="I11" s="147"/>
      <c r="J11" s="189"/>
      <c r="K11" s="189"/>
      <c r="L11" s="147"/>
      <c r="M11" s="147"/>
      <c r="N11" s="147"/>
      <c r="O11" s="147"/>
    </row>
    <row r="12" spans="1:17">
      <c r="A12" s="147"/>
      <c r="B12" s="187"/>
      <c r="C12" s="178"/>
      <c r="D12" s="190"/>
      <c r="E12" s="151"/>
      <c r="F12" s="147"/>
      <c r="G12" s="147"/>
      <c r="H12" s="147"/>
      <c r="I12" s="147"/>
      <c r="J12" s="147"/>
      <c r="K12" s="147"/>
      <c r="L12" s="147"/>
      <c r="M12" s="147"/>
      <c r="N12" s="147"/>
      <c r="O12" s="147"/>
    </row>
    <row r="13" spans="1:17">
      <c r="A13" s="147"/>
      <c r="B13" s="801" t="s">
        <v>240</v>
      </c>
      <c r="C13" s="801"/>
      <c r="D13" s="147"/>
      <c r="E13" s="191"/>
      <c r="F13" s="147"/>
      <c r="G13" s="147"/>
      <c r="H13" s="192"/>
      <c r="I13" s="193"/>
      <c r="J13" s="147"/>
      <c r="K13" s="147"/>
      <c r="L13" s="147"/>
      <c r="M13" s="147" t="s">
        <v>241</v>
      </c>
      <c r="N13" s="147"/>
      <c r="O13" s="147"/>
    </row>
    <row r="14" spans="1:17" s="200" customFormat="1" ht="47.25">
      <c r="A14" s="194"/>
      <c r="B14" s="195" t="s">
        <v>223</v>
      </c>
      <c r="C14" s="196" t="s">
        <v>242</v>
      </c>
      <c r="D14" s="196" t="s">
        <v>243</v>
      </c>
      <c r="E14" s="196" t="s">
        <v>244</v>
      </c>
      <c r="F14" s="196" t="s">
        <v>245</v>
      </c>
      <c r="G14" s="196" t="s">
        <v>246</v>
      </c>
      <c r="H14" s="196" t="s">
        <v>247</v>
      </c>
      <c r="I14" s="196" t="s">
        <v>248</v>
      </c>
      <c r="J14" s="197" t="s">
        <v>249</v>
      </c>
      <c r="K14" s="198"/>
      <c r="L14" s="199"/>
      <c r="M14" s="194"/>
      <c r="N14" s="194"/>
      <c r="O14" s="194"/>
      <c r="P14" s="194"/>
      <c r="Q14" s="194"/>
    </row>
    <row r="15" spans="1:17">
      <c r="A15" s="193"/>
      <c r="B15" s="116" t="s">
        <v>217</v>
      </c>
      <c r="C15" s="201">
        <f>Beta!D6</f>
        <v>1.3773873833989476</v>
      </c>
      <c r="D15" s="202">
        <f>AVERAGE(C43:C45)</f>
        <v>19503.666666666668</v>
      </c>
      <c r="E15" s="203">
        <f>(D15)/(D15+F15)</f>
        <v>0.3057464616631006</v>
      </c>
      <c r="F15" s="204">
        <f>AVERAGE(F43:F45)</f>
        <v>44286.66</v>
      </c>
      <c r="G15" s="205">
        <f>F15/(D15+F15)</f>
        <v>0.69425353833689929</v>
      </c>
      <c r="H15" s="206">
        <f>D15/F15</f>
        <v>0.44039597175914069</v>
      </c>
      <c r="I15" s="207">
        <f>C15/(1+((1-$G$38)*H15))</f>
        <v>1.0218668190719817</v>
      </c>
      <c r="J15" s="266">
        <f>I15*(1+(1-$I$24)*$H$24)</f>
        <v>1.2844396851500528</v>
      </c>
      <c r="K15" s="193"/>
      <c r="L15" s="193"/>
      <c r="M15" s="193" t="s">
        <v>250</v>
      </c>
      <c r="N15" s="193"/>
      <c r="O15" s="193"/>
    </row>
    <row r="16" spans="1:17">
      <c r="A16" s="147"/>
      <c r="B16" s="121" t="s">
        <v>219</v>
      </c>
      <c r="C16" s="201">
        <f>Beta!D7</f>
        <v>0.78537511692290984</v>
      </c>
      <c r="D16" s="202">
        <f>AVERAGE(C48:C50)</f>
        <v>8924.6666666666661</v>
      </c>
      <c r="E16" s="205">
        <f>(D16)/(D16+F16)</f>
        <v>0.23359230839698653</v>
      </c>
      <c r="F16" s="209">
        <f>AVERAGE(F48:F50)</f>
        <v>29281.5</v>
      </c>
      <c r="G16" s="205">
        <f>F16/(D16+F16)</f>
        <v>0.76640769160301347</v>
      </c>
      <c r="H16" s="207">
        <f>D16/F16</f>
        <v>0.30478857526652209</v>
      </c>
      <c r="I16" s="207">
        <f>C16/(1+((1-$G$38)*H16))</f>
        <v>0.63296735455639408</v>
      </c>
      <c r="J16" s="266">
        <f>I16*(1+(1-$I$24)*$H$24)</f>
        <v>0.79561090978080506</v>
      </c>
      <c r="K16" s="211"/>
      <c r="L16" s="147"/>
      <c r="M16" s="147"/>
      <c r="N16" s="147"/>
      <c r="O16" s="147"/>
    </row>
    <row r="17" spans="1:15">
      <c r="A17" s="147"/>
      <c r="B17" s="121"/>
      <c r="C17" s="201"/>
      <c r="D17" s="202"/>
      <c r="E17" s="205"/>
      <c r="F17" s="209"/>
      <c r="G17" s="205"/>
      <c r="H17" s="207"/>
      <c r="I17" s="207"/>
      <c r="J17" s="266"/>
      <c r="K17" s="211"/>
      <c r="L17" s="147"/>
      <c r="M17" s="147"/>
      <c r="N17" s="147"/>
      <c r="O17" s="147"/>
    </row>
    <row r="18" spans="1:15">
      <c r="A18" s="147"/>
      <c r="B18" s="208"/>
      <c r="C18" s="201"/>
      <c r="D18" s="202"/>
      <c r="E18" s="205"/>
      <c r="F18" s="209"/>
      <c r="G18" s="205"/>
      <c r="H18" s="207"/>
      <c r="I18" s="207"/>
      <c r="J18" s="266"/>
      <c r="K18" s="211"/>
      <c r="L18" s="147"/>
      <c r="M18" s="147"/>
      <c r="N18" s="147"/>
      <c r="O18" s="147"/>
    </row>
    <row r="19" spans="1:15">
      <c r="A19" s="147"/>
      <c r="B19" s="212"/>
      <c r="C19" s="201"/>
      <c r="D19" s="213"/>
      <c r="E19" s="186"/>
      <c r="F19" s="213"/>
      <c r="G19" s="171"/>
      <c r="H19" s="171"/>
      <c r="I19" s="214"/>
      <c r="J19" s="210"/>
      <c r="K19" s="211"/>
      <c r="L19" s="147"/>
      <c r="M19" s="147"/>
      <c r="N19" s="147"/>
      <c r="O19" s="147"/>
    </row>
    <row r="20" spans="1:15">
      <c r="A20" s="147"/>
      <c r="B20" s="212"/>
      <c r="C20" s="201"/>
      <c r="D20" s="213"/>
      <c r="E20" s="186"/>
      <c r="F20" s="186"/>
      <c r="G20" s="171"/>
      <c r="H20" s="171"/>
      <c r="I20" s="214"/>
      <c r="J20" s="210">
        <f>AVERAGE(J15:J17)</f>
        <v>1.0400252974654289</v>
      </c>
      <c r="K20" s="211" t="s">
        <v>268</v>
      </c>
      <c r="L20" s="147"/>
      <c r="M20" s="147"/>
      <c r="N20" s="147"/>
      <c r="O20" s="147"/>
    </row>
    <row r="21" spans="1:15">
      <c r="A21" s="147"/>
      <c r="B21" s="215"/>
      <c r="C21" s="216"/>
      <c r="D21" s="216"/>
      <c r="E21" s="216"/>
      <c r="F21" s="216"/>
      <c r="G21" s="217"/>
      <c r="H21" s="218" t="s">
        <v>251</v>
      </c>
      <c r="I21" s="219">
        <f>AVERAGE(I15:I18)</f>
        <v>0.82741708681418791</v>
      </c>
      <c r="J21" s="220">
        <f>I21*(1+(1-I24)*(H24))</f>
        <v>1.0400252974654289</v>
      </c>
      <c r="K21" s="211"/>
      <c r="L21" s="147"/>
      <c r="M21" s="147"/>
      <c r="N21" s="147"/>
      <c r="O21" s="147"/>
    </row>
    <row r="22" spans="1:15">
      <c r="A22" s="147"/>
      <c r="B22" s="221"/>
      <c r="C22" s="222"/>
      <c r="D22" s="222"/>
      <c r="E22" s="222"/>
      <c r="F22" s="181"/>
      <c r="G22" s="223"/>
      <c r="H22" s="224"/>
      <c r="I22" s="224"/>
      <c r="J22" s="224"/>
      <c r="K22" s="211"/>
      <c r="L22" s="147"/>
      <c r="M22" s="147"/>
      <c r="N22" s="147"/>
      <c r="O22" s="147"/>
    </row>
    <row r="23" spans="1:15" ht="47.25">
      <c r="A23" s="147"/>
      <c r="B23" s="195" t="s">
        <v>223</v>
      </c>
      <c r="C23" s="196" t="s">
        <v>242</v>
      </c>
      <c r="D23" s="196" t="s">
        <v>243</v>
      </c>
      <c r="E23" s="196" t="s">
        <v>244</v>
      </c>
      <c r="F23" s="196" t="s">
        <v>245</v>
      </c>
      <c r="G23" s="196" t="s">
        <v>246</v>
      </c>
      <c r="H23" s="196" t="s">
        <v>247</v>
      </c>
      <c r="I23" s="197" t="s">
        <v>252</v>
      </c>
      <c r="J23" s="211"/>
      <c r="K23" s="211"/>
      <c r="L23" s="147"/>
      <c r="M23" s="147"/>
      <c r="N23" s="147"/>
      <c r="O23" s="147"/>
    </row>
    <row r="24" spans="1:15">
      <c r="A24" s="147"/>
      <c r="B24" s="254" t="s">
        <v>211</v>
      </c>
      <c r="C24" s="225">
        <f>Beta!D5</f>
        <v>1.3601153507137331</v>
      </c>
      <c r="D24" s="226">
        <f>AVERAGE(C38:C40)</f>
        <v>16429.666666666668</v>
      </c>
      <c r="E24" s="227">
        <f>D24/(D24+F24)</f>
        <v>0.24543014634486401</v>
      </c>
      <c r="F24" s="228">
        <f>AVERAGE(F38:F40)</f>
        <v>50512.666666666664</v>
      </c>
      <c r="G24" s="227">
        <f>F24/(D24+F24)</f>
        <v>0.75456985365513607</v>
      </c>
      <c r="H24" s="229">
        <f>D24/F24</f>
        <v>0.32525835104066309</v>
      </c>
      <c r="I24" s="230">
        <v>0.21</v>
      </c>
      <c r="J24" s="211"/>
      <c r="K24" s="211"/>
      <c r="L24" s="147"/>
      <c r="M24" s="147"/>
      <c r="N24" s="147"/>
      <c r="O24" s="147"/>
    </row>
    <row r="25" spans="1:15">
      <c r="A25" s="147"/>
      <c r="B25" s="147"/>
      <c r="C25" s="201"/>
      <c r="D25" s="231"/>
      <c r="E25" s="186"/>
      <c r="F25" s="231"/>
      <c r="G25" s="232"/>
      <c r="H25" s="232"/>
      <c r="I25" s="214"/>
      <c r="J25" s="211"/>
      <c r="K25" s="211"/>
      <c r="L25" s="147"/>
      <c r="M25" s="147"/>
      <c r="N25" s="147"/>
      <c r="O25" s="147"/>
    </row>
    <row r="26" spans="1:15">
      <c r="A26" s="147"/>
      <c r="B26" s="147"/>
      <c r="C26" s="164"/>
      <c r="D26" s="164"/>
      <c r="E26" s="164"/>
      <c r="F26" s="233"/>
      <c r="G26" s="171"/>
      <c r="H26" s="213"/>
      <c r="I26" s="214"/>
      <c r="J26" s="211"/>
      <c r="K26" s="211"/>
      <c r="L26" s="147"/>
      <c r="M26" s="147"/>
      <c r="N26" s="147"/>
      <c r="O26" s="147"/>
    </row>
    <row r="27" spans="1:15">
      <c r="A27" s="147"/>
      <c r="B27" s="147"/>
      <c r="C27" s="164"/>
      <c r="D27" s="164"/>
      <c r="E27" s="164"/>
      <c r="F27" s="233"/>
      <c r="G27" s="171"/>
      <c r="H27" s="213"/>
      <c r="I27" s="214"/>
      <c r="J27" s="211"/>
      <c r="K27" s="211"/>
      <c r="L27" s="147"/>
      <c r="M27" s="147"/>
      <c r="N27" s="147"/>
      <c r="O27" s="147"/>
    </row>
    <row r="28" spans="1:15">
      <c r="A28" s="147"/>
      <c r="B28" s="193" t="s">
        <v>265</v>
      </c>
      <c r="C28" s="164"/>
      <c r="D28" s="164"/>
      <c r="E28" s="164"/>
      <c r="F28" s="164"/>
      <c r="G28" s="234"/>
      <c r="H28" s="234"/>
      <c r="I28" s="235"/>
      <c r="J28" s="211"/>
      <c r="K28" s="211"/>
      <c r="L28" s="147"/>
      <c r="M28" s="147"/>
      <c r="N28" s="147"/>
      <c r="O28" s="147"/>
    </row>
    <row r="29" spans="1:15">
      <c r="A29" s="147">
        <v>1</v>
      </c>
      <c r="B29" s="147" t="s">
        <v>253</v>
      </c>
      <c r="C29" s="379">
        <f>J21</f>
        <v>1.0400252974654289</v>
      </c>
      <c r="D29" s="164"/>
      <c r="E29" s="164"/>
      <c r="F29" s="164"/>
      <c r="G29" s="171"/>
      <c r="H29" s="234"/>
      <c r="I29" s="235"/>
      <c r="J29" s="211"/>
      <c r="K29" s="211"/>
      <c r="L29" s="147"/>
      <c r="M29" s="147"/>
      <c r="N29" s="147"/>
      <c r="O29" s="147"/>
    </row>
    <row r="30" spans="1:15">
      <c r="A30" s="193">
        <v>2</v>
      </c>
      <c r="B30" s="147" t="s">
        <v>254</v>
      </c>
      <c r="C30" s="201">
        <f>C24</f>
        <v>1.3601153507137331</v>
      </c>
      <c r="D30" s="231"/>
      <c r="E30" s="186"/>
      <c r="F30" s="231"/>
      <c r="G30" s="232"/>
      <c r="H30" s="232"/>
      <c r="I30" s="236"/>
      <c r="J30" s="211"/>
      <c r="K30" s="211"/>
      <c r="L30" s="193"/>
      <c r="M30" s="193"/>
      <c r="N30" s="193"/>
      <c r="O30" s="193"/>
    </row>
    <row r="31" spans="1:15">
      <c r="A31" s="147"/>
      <c r="B31" s="147"/>
      <c r="C31" s="164"/>
      <c r="D31" s="164"/>
      <c r="E31" s="164"/>
      <c r="F31" s="164"/>
      <c r="G31" s="164"/>
      <c r="H31" s="164"/>
      <c r="I31" s="147"/>
      <c r="J31" s="147"/>
      <c r="K31" s="147"/>
      <c r="L31" s="147"/>
      <c r="M31" s="147"/>
      <c r="N31" s="147"/>
      <c r="O31" s="147"/>
    </row>
    <row r="32" spans="1:15">
      <c r="A32" s="147"/>
      <c r="B32" s="147"/>
      <c r="C32" s="164"/>
      <c r="D32" s="164"/>
      <c r="E32" s="164"/>
      <c r="F32" s="164"/>
      <c r="G32" s="164"/>
      <c r="H32" s="164"/>
      <c r="I32" s="147"/>
      <c r="J32" s="147"/>
      <c r="K32" s="147"/>
      <c r="L32" s="147"/>
      <c r="M32" s="147"/>
      <c r="N32" s="147"/>
      <c r="O32" s="147"/>
    </row>
    <row r="33" spans="1:15">
      <c r="A33" s="147"/>
      <c r="B33" s="147"/>
      <c r="C33" s="164"/>
      <c r="D33" s="164"/>
      <c r="E33" s="164"/>
      <c r="F33" s="164"/>
      <c r="G33" s="164"/>
      <c r="H33" s="164"/>
      <c r="I33" s="147"/>
      <c r="J33" s="147"/>
      <c r="K33" s="147"/>
      <c r="L33" s="147"/>
      <c r="M33" s="147"/>
      <c r="N33" s="147"/>
      <c r="O33" s="147"/>
    </row>
    <row r="34" spans="1:15">
      <c r="A34" s="147"/>
      <c r="B34" s="255" t="s">
        <v>255</v>
      </c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</row>
    <row r="35" spans="1:15">
      <c r="A35" s="147"/>
      <c r="B35" s="237" t="s">
        <v>256</v>
      </c>
      <c r="C35" s="238"/>
      <c r="D35" s="802"/>
      <c r="E35" s="803"/>
      <c r="F35" s="803"/>
      <c r="G35" s="238"/>
      <c r="H35" s="147"/>
      <c r="I35" s="147"/>
      <c r="J35" s="147"/>
      <c r="K35" s="147"/>
      <c r="L35" s="147"/>
      <c r="M35" s="147"/>
      <c r="N35" s="147"/>
      <c r="O35" s="147"/>
    </row>
    <row r="36" spans="1:15">
      <c r="A36" s="147"/>
      <c r="B36" s="238"/>
      <c r="C36" s="804" t="s">
        <v>257</v>
      </c>
      <c r="D36" s="805" t="s">
        <v>258</v>
      </c>
      <c r="E36" s="806"/>
      <c r="F36" s="806"/>
      <c r="G36" s="239"/>
      <c r="H36" s="147"/>
      <c r="I36" s="147"/>
      <c r="J36" s="147"/>
      <c r="K36" s="147"/>
      <c r="L36" s="147"/>
      <c r="M36" s="147"/>
      <c r="N36" s="147"/>
      <c r="O36" s="147"/>
    </row>
    <row r="37" spans="1:15">
      <c r="A37" s="147"/>
      <c r="B37" s="254" t="s">
        <v>211</v>
      </c>
      <c r="C37" s="804"/>
      <c r="D37" s="240" t="s">
        <v>259</v>
      </c>
      <c r="E37" s="240" t="s">
        <v>260</v>
      </c>
      <c r="F37" s="240" t="s">
        <v>261</v>
      </c>
      <c r="G37" s="240" t="s">
        <v>252</v>
      </c>
      <c r="H37" s="147"/>
      <c r="I37" s="147"/>
      <c r="J37" s="147"/>
      <c r="K37" s="147"/>
      <c r="L37" s="147"/>
      <c r="M37" s="147"/>
      <c r="N37" s="147"/>
      <c r="O37" s="147"/>
    </row>
    <row r="38" spans="1:15">
      <c r="A38" s="147"/>
      <c r="B38" s="241">
        <v>45565</v>
      </c>
      <c r="C38" s="146">
        <f>2141+254+12944</f>
        <v>15339</v>
      </c>
      <c r="D38" s="144">
        <f>Beta!C26</f>
        <v>49.13</v>
      </c>
      <c r="E38" s="144">
        <v>1000</v>
      </c>
      <c r="F38" s="244">
        <f>D38*E38</f>
        <v>49130</v>
      </c>
      <c r="G38" s="245">
        <v>0.21</v>
      </c>
      <c r="H38" s="147"/>
      <c r="I38" s="147"/>
      <c r="J38" s="147"/>
      <c r="K38" s="147"/>
      <c r="L38" s="147"/>
      <c r="M38" s="147"/>
      <c r="N38" s="147"/>
      <c r="O38" s="147"/>
    </row>
    <row r="39" spans="1:15">
      <c r="A39" s="147"/>
      <c r="B39" s="241">
        <v>45199</v>
      </c>
      <c r="C39" s="144">
        <f>428+264+15548</f>
        <v>16240</v>
      </c>
      <c r="D39" s="144">
        <f>Beta!C79</f>
        <v>39.630000000000003</v>
      </c>
      <c r="E39" s="144">
        <v>1200</v>
      </c>
      <c r="F39" s="244">
        <f t="shared" ref="F39:F40" si="0">D39*E39</f>
        <v>47556</v>
      </c>
      <c r="G39" s="245">
        <v>0.21</v>
      </c>
      <c r="H39" s="147"/>
      <c r="I39" s="147"/>
      <c r="J39" s="147"/>
      <c r="K39" s="147"/>
      <c r="L39" s="147"/>
      <c r="M39" s="147"/>
      <c r="N39" s="147"/>
      <c r="O39" s="147"/>
    </row>
    <row r="40" spans="1:15">
      <c r="A40" s="147"/>
      <c r="B40" s="241">
        <v>44834</v>
      </c>
      <c r="C40" s="144">
        <f>1959+247+15504</f>
        <v>17710</v>
      </c>
      <c r="D40" s="144">
        <f>Beta!C131</f>
        <v>39.18</v>
      </c>
      <c r="E40" s="144">
        <v>1400</v>
      </c>
      <c r="F40" s="244">
        <f t="shared" si="0"/>
        <v>54852</v>
      </c>
      <c r="G40" s="245">
        <v>0.21</v>
      </c>
      <c r="H40" s="147"/>
      <c r="I40" s="147"/>
      <c r="J40" s="147"/>
      <c r="K40" s="147"/>
      <c r="L40" s="147"/>
      <c r="M40" s="147"/>
      <c r="N40" s="147"/>
      <c r="O40" s="147"/>
    </row>
    <row r="41" spans="1:15">
      <c r="A41" s="147"/>
      <c r="B41" s="246"/>
      <c r="C41" s="144"/>
      <c r="D41" s="144"/>
      <c r="E41" s="144"/>
      <c r="F41" s="244"/>
      <c r="G41" s="238"/>
      <c r="H41" s="147"/>
      <c r="I41" s="147"/>
      <c r="J41" s="147"/>
      <c r="K41" s="147"/>
      <c r="L41" s="147"/>
      <c r="M41" s="147"/>
      <c r="N41" s="147"/>
      <c r="O41" s="147"/>
    </row>
    <row r="42" spans="1:15">
      <c r="A42" s="147"/>
      <c r="B42" s="116" t="s">
        <v>217</v>
      </c>
      <c r="F42" s="244"/>
      <c r="G42" s="238"/>
      <c r="H42" s="147"/>
      <c r="I42" s="147"/>
      <c r="J42" s="147"/>
      <c r="K42" s="147"/>
      <c r="L42" s="147"/>
      <c r="M42" s="147"/>
      <c r="N42" s="147"/>
      <c r="O42" s="147"/>
    </row>
    <row r="43" spans="1:15">
      <c r="A43" s="147"/>
      <c r="B43" s="241">
        <v>45565</v>
      </c>
      <c r="C43" s="146">
        <f>632+1030+18187</f>
        <v>19849</v>
      </c>
      <c r="D43" s="146">
        <f>Beta!G26</f>
        <v>9.5500000000000007</v>
      </c>
      <c r="E43" s="146">
        <v>3974</v>
      </c>
      <c r="F43" s="244">
        <f t="shared" ref="F43:F45" si="1">D43*E43</f>
        <v>37951.700000000004</v>
      </c>
      <c r="G43" s="245">
        <v>0.21</v>
      </c>
      <c r="H43" s="147"/>
      <c r="I43" s="147"/>
      <c r="J43" s="147"/>
      <c r="K43" s="147"/>
      <c r="L43" s="147"/>
      <c r="M43" s="147"/>
      <c r="N43" s="147"/>
      <c r="O43" s="147"/>
    </row>
    <row r="44" spans="1:15">
      <c r="A44" s="147"/>
      <c r="B44" s="241">
        <v>45199</v>
      </c>
      <c r="C44" s="146">
        <f>362+83+18861</f>
        <v>19306</v>
      </c>
      <c r="D44" s="146">
        <f>Beta!G79</f>
        <v>12.14</v>
      </c>
      <c r="E44" s="146">
        <v>3973</v>
      </c>
      <c r="F44" s="244">
        <f t="shared" si="1"/>
        <v>48232.22</v>
      </c>
      <c r="G44" s="245">
        <v>0.21</v>
      </c>
      <c r="H44" s="147"/>
      <c r="I44" s="147"/>
      <c r="J44" s="147"/>
      <c r="K44" s="147"/>
      <c r="L44" s="147"/>
      <c r="M44" s="147"/>
      <c r="N44" s="147"/>
      <c r="O44" s="147"/>
    </row>
    <row r="45" spans="1:15">
      <c r="A45" s="147"/>
      <c r="B45" s="241">
        <v>44834</v>
      </c>
      <c r="C45" s="146">
        <f>359+285+18712</f>
        <v>19356</v>
      </c>
      <c r="D45" s="146">
        <f>Beta!G131</f>
        <v>11.71</v>
      </c>
      <c r="E45" s="146">
        <v>3986</v>
      </c>
      <c r="F45" s="244">
        <f t="shared" si="1"/>
        <v>46676.060000000005</v>
      </c>
      <c r="G45" s="245">
        <v>0.21</v>
      </c>
      <c r="H45" s="147"/>
      <c r="I45" s="147"/>
      <c r="J45" s="147"/>
      <c r="K45" s="147"/>
      <c r="L45" s="147"/>
      <c r="M45" s="147"/>
      <c r="N45" s="147"/>
      <c r="O45" s="147"/>
    </row>
    <row r="46" spans="1:15">
      <c r="A46" s="147"/>
      <c r="B46" s="238"/>
      <c r="F46" s="244"/>
      <c r="G46" s="238"/>
      <c r="H46" s="147"/>
      <c r="I46" s="147"/>
      <c r="J46" s="147"/>
      <c r="K46" s="147"/>
      <c r="L46" s="147"/>
      <c r="M46" s="147"/>
      <c r="N46" s="147"/>
      <c r="O46" s="147"/>
    </row>
    <row r="47" spans="1:15">
      <c r="A47" s="147"/>
      <c r="B47" s="121" t="s">
        <v>219</v>
      </c>
      <c r="F47" s="244"/>
      <c r="G47" s="238"/>
      <c r="H47" s="147"/>
      <c r="I47" s="147"/>
      <c r="J47" s="147"/>
      <c r="K47" s="147"/>
      <c r="L47" s="147"/>
      <c r="M47" s="147"/>
      <c r="N47" s="147"/>
      <c r="O47" s="147"/>
    </row>
    <row r="48" spans="1:15">
      <c r="A48" s="147"/>
      <c r="B48" s="241">
        <v>45565</v>
      </c>
      <c r="C48" s="146">
        <f>281+8151</f>
        <v>8432</v>
      </c>
      <c r="D48" s="146">
        <f>Beta!L26</f>
        <v>30.73</v>
      </c>
      <c r="E48" s="146">
        <v>977</v>
      </c>
      <c r="F48" s="244">
        <f t="shared" ref="F48:F50" si="2">D48*E48</f>
        <v>30023.21</v>
      </c>
      <c r="G48" s="245">
        <v>0.21</v>
      </c>
      <c r="H48" s="147"/>
      <c r="I48" s="147"/>
      <c r="J48" s="147"/>
      <c r="K48" s="147"/>
      <c r="L48" s="147"/>
      <c r="M48" s="147"/>
      <c r="N48" s="147"/>
      <c r="O48" s="147"/>
    </row>
    <row r="49" spans="1:15">
      <c r="A49" s="147"/>
      <c r="B49" s="241">
        <v>45199</v>
      </c>
      <c r="C49" s="146">
        <f>6975+1747</f>
        <v>8722</v>
      </c>
      <c r="D49" s="146">
        <f>Beta!L79</f>
        <v>34.799999999999997</v>
      </c>
      <c r="E49" s="146">
        <v>992</v>
      </c>
      <c r="F49" s="244">
        <f t="shared" si="2"/>
        <v>34521.599999999999</v>
      </c>
      <c r="G49" s="245">
        <v>0.21</v>
      </c>
      <c r="H49" s="147"/>
      <c r="I49" s="147"/>
      <c r="J49" s="147"/>
      <c r="K49" s="147"/>
      <c r="L49" s="147"/>
      <c r="M49" s="147"/>
      <c r="N49" s="147"/>
      <c r="O49" s="147"/>
    </row>
    <row r="50" spans="1:15">
      <c r="A50" s="147"/>
      <c r="B50" s="241">
        <v>44834</v>
      </c>
      <c r="C50" s="146">
        <f>390+9230</f>
        <v>9620</v>
      </c>
      <c r="D50" s="146">
        <f>Beta!L131</f>
        <v>23.23</v>
      </c>
      <c r="E50" s="146">
        <v>1003</v>
      </c>
      <c r="F50" s="244">
        <f t="shared" si="2"/>
        <v>23299.69</v>
      </c>
      <c r="G50" s="245">
        <v>0.21</v>
      </c>
      <c r="H50" s="147"/>
      <c r="I50" s="147"/>
      <c r="J50" s="147"/>
      <c r="K50" s="147"/>
      <c r="L50" s="147"/>
      <c r="M50" s="147"/>
      <c r="N50" s="147"/>
      <c r="O50" s="147"/>
    </row>
    <row r="51" spans="1:15">
      <c r="A51" s="147"/>
      <c r="B51" s="238"/>
      <c r="C51" s="249"/>
      <c r="D51" s="250"/>
      <c r="E51" s="249"/>
      <c r="F51" s="244"/>
      <c r="G51" s="238"/>
      <c r="H51" s="147"/>
      <c r="I51" s="147"/>
      <c r="J51" s="147"/>
      <c r="K51" s="147"/>
      <c r="L51" s="147"/>
      <c r="M51" s="147"/>
      <c r="N51" s="147"/>
      <c r="O51" s="147"/>
    </row>
    <row r="52" spans="1:15">
      <c r="A52" s="147"/>
      <c r="B52" s="121"/>
      <c r="C52" s="249"/>
      <c r="D52" s="250"/>
      <c r="E52" s="249"/>
      <c r="F52" s="244"/>
      <c r="G52" s="238"/>
      <c r="H52" s="147"/>
      <c r="I52" s="147"/>
      <c r="J52" s="147"/>
      <c r="K52" s="147"/>
      <c r="L52" s="147"/>
      <c r="M52" s="147"/>
      <c r="N52" s="147"/>
      <c r="O52" s="147"/>
    </row>
    <row r="53" spans="1:15">
      <c r="A53" s="147"/>
      <c r="B53" s="241"/>
      <c r="C53" s="249"/>
      <c r="D53" s="243"/>
      <c r="E53" s="249"/>
      <c r="F53" s="244"/>
      <c r="G53" s="245"/>
      <c r="H53" s="147"/>
      <c r="I53" s="147"/>
      <c r="J53" s="147"/>
      <c r="K53" s="147"/>
      <c r="L53" s="242"/>
      <c r="M53" s="243"/>
      <c r="N53" s="242"/>
      <c r="O53" s="244"/>
    </row>
    <row r="54" spans="1:15">
      <c r="A54" s="147"/>
      <c r="B54" s="241"/>
      <c r="C54" s="249"/>
      <c r="D54" s="243"/>
      <c r="E54" s="249"/>
      <c r="F54" s="244"/>
      <c r="G54" s="245"/>
      <c r="H54" s="147"/>
      <c r="I54" s="147"/>
      <c r="J54" s="147"/>
      <c r="K54" s="147"/>
      <c r="L54" s="242"/>
      <c r="M54" s="243"/>
      <c r="N54" s="242"/>
      <c r="O54" s="244"/>
    </row>
    <row r="55" spans="1:15">
      <c r="A55" s="147"/>
      <c r="B55" s="241"/>
      <c r="C55" s="249"/>
      <c r="D55" s="243"/>
      <c r="E55" s="249"/>
      <c r="F55" s="244"/>
      <c r="G55" s="245"/>
      <c r="H55" s="147"/>
      <c r="I55" s="147"/>
      <c r="J55" s="147"/>
      <c r="K55" s="147"/>
      <c r="L55" s="242"/>
      <c r="M55" s="243"/>
      <c r="N55" s="242"/>
      <c r="O55" s="244"/>
    </row>
    <row r="56" spans="1:15">
      <c r="A56" s="147"/>
      <c r="B56" s="238"/>
      <c r="C56" s="238"/>
      <c r="D56" s="238"/>
      <c r="E56" s="238"/>
      <c r="F56" s="244"/>
      <c r="G56" s="238"/>
      <c r="H56" s="147"/>
      <c r="I56" s="147"/>
      <c r="J56" s="147"/>
      <c r="K56" s="147"/>
      <c r="L56" s="238"/>
      <c r="M56" s="247"/>
      <c r="N56" s="238"/>
      <c r="O56" s="244"/>
    </row>
    <row r="57" spans="1:15">
      <c r="A57" s="147"/>
      <c r="B57" s="238"/>
      <c r="C57" s="238"/>
      <c r="D57" s="238"/>
      <c r="E57" s="238"/>
      <c r="F57" s="238"/>
      <c r="G57" s="238"/>
      <c r="H57" s="147"/>
      <c r="I57" s="147"/>
      <c r="J57" s="147"/>
      <c r="K57" s="147"/>
      <c r="L57" s="238"/>
      <c r="M57" s="247"/>
      <c r="N57" s="238"/>
      <c r="O57" s="244"/>
    </row>
    <row r="58" spans="1:15">
      <c r="A58" s="147"/>
      <c r="B58" s="248"/>
      <c r="C58" s="238"/>
      <c r="D58" s="247"/>
      <c r="E58" s="251"/>
      <c r="F58" s="244"/>
      <c r="G58" s="238"/>
      <c r="H58" s="147"/>
      <c r="I58" s="147"/>
      <c r="J58" s="147"/>
      <c r="K58" s="147"/>
      <c r="L58" s="242"/>
      <c r="M58" s="243"/>
      <c r="N58" s="242"/>
      <c r="O58" s="244"/>
    </row>
    <row r="59" spans="1:15">
      <c r="A59" s="147"/>
      <c r="B59" s="241"/>
      <c r="C59" s="249"/>
      <c r="D59" s="243"/>
      <c r="E59" s="249"/>
      <c r="F59" s="244"/>
      <c r="G59" s="245"/>
      <c r="H59" s="147"/>
      <c r="I59" s="147"/>
      <c r="J59" s="147"/>
      <c r="K59" s="147"/>
      <c r="L59" s="242"/>
      <c r="M59" s="243"/>
      <c r="N59" s="242"/>
      <c r="O59" s="244"/>
    </row>
    <row r="60" spans="1:15">
      <c r="A60" s="147"/>
      <c r="B60" s="241"/>
      <c r="C60" s="249"/>
      <c r="D60" s="243"/>
      <c r="E60" s="249"/>
      <c r="F60" s="244"/>
      <c r="G60" s="245"/>
      <c r="H60" s="147"/>
      <c r="I60" s="147"/>
      <c r="J60" s="147"/>
      <c r="K60" s="147"/>
      <c r="L60" s="242"/>
      <c r="M60" s="243"/>
      <c r="N60" s="242"/>
      <c r="O60" s="244"/>
    </row>
    <row r="61" spans="1:15">
      <c r="A61" s="147"/>
      <c r="B61" s="241"/>
      <c r="C61" s="249"/>
      <c r="D61" s="243"/>
      <c r="E61" s="249"/>
      <c r="F61" s="244"/>
      <c r="G61" s="245"/>
      <c r="H61" s="147"/>
      <c r="I61" s="147"/>
      <c r="J61" s="147"/>
      <c r="K61" s="147"/>
      <c r="L61" s="238"/>
      <c r="M61" s="247"/>
      <c r="N61" s="238"/>
      <c r="O61" s="244"/>
    </row>
    <row r="62" spans="1:15">
      <c r="A62" s="147"/>
      <c r="B62" s="147"/>
      <c r="C62" s="249"/>
      <c r="D62" s="250"/>
      <c r="E62" s="249"/>
      <c r="F62" s="238"/>
      <c r="G62" s="147"/>
      <c r="H62" s="147"/>
      <c r="I62" s="147"/>
      <c r="J62" s="147"/>
      <c r="K62" s="147"/>
      <c r="L62" s="238"/>
      <c r="M62" s="247"/>
      <c r="N62" s="238"/>
      <c r="O62" s="244"/>
    </row>
    <row r="63" spans="1:15">
      <c r="A63" s="147"/>
      <c r="B63" s="147"/>
      <c r="C63" s="238"/>
      <c r="D63" s="238"/>
      <c r="E63" s="238"/>
      <c r="F63" s="238"/>
      <c r="G63" s="147"/>
      <c r="H63" s="147"/>
      <c r="I63" s="147"/>
      <c r="J63" s="147"/>
      <c r="K63" s="147"/>
      <c r="L63" s="242"/>
      <c r="M63" s="243"/>
      <c r="N63" s="242"/>
      <c r="O63" s="244"/>
    </row>
    <row r="64" spans="1:15" ht="29.25" customHeight="1">
      <c r="A64" s="252" t="s">
        <v>262</v>
      </c>
      <c r="B64" s="807" t="s">
        <v>263</v>
      </c>
      <c r="C64" s="807"/>
      <c r="D64" s="807"/>
      <c r="E64" s="807"/>
      <c r="F64" s="807"/>
      <c r="G64" s="807"/>
      <c r="H64" s="147"/>
      <c r="I64" s="147"/>
      <c r="J64" s="147"/>
      <c r="K64" s="147"/>
      <c r="L64" s="242"/>
      <c r="M64" s="243"/>
      <c r="N64" s="242"/>
      <c r="O64" s="244"/>
    </row>
    <row r="65" spans="1:15">
      <c r="A65" s="144"/>
      <c r="B65" s="144"/>
      <c r="C65" s="253"/>
      <c r="D65" s="253"/>
      <c r="E65" s="253"/>
      <c r="F65" s="253"/>
      <c r="G65" s="144"/>
      <c r="H65" s="144"/>
      <c r="I65" s="144"/>
      <c r="J65" s="144"/>
      <c r="K65" s="144"/>
      <c r="L65" s="242"/>
      <c r="M65" s="243"/>
      <c r="N65" s="242"/>
      <c r="O65" s="244"/>
    </row>
    <row r="66" spans="1:15">
      <c r="A66" s="144"/>
      <c r="B66" s="144"/>
      <c r="C66" s="253"/>
      <c r="D66" s="253"/>
      <c r="E66" s="253"/>
      <c r="F66" s="253"/>
      <c r="G66" s="144"/>
      <c r="H66" s="144"/>
      <c r="I66" s="144"/>
      <c r="J66" s="144"/>
      <c r="K66" s="144"/>
      <c r="L66" s="238"/>
      <c r="M66" s="247"/>
      <c r="N66" s="238"/>
      <c r="O66" s="244"/>
    </row>
    <row r="67" spans="1:15">
      <c r="A67" s="144"/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238"/>
      <c r="M67" s="247"/>
      <c r="N67" s="238"/>
      <c r="O67" s="244"/>
    </row>
    <row r="68" spans="1:15">
      <c r="A68" s="144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249"/>
      <c r="M68" s="243"/>
      <c r="N68" s="249"/>
      <c r="O68" s="244"/>
    </row>
    <row r="69" spans="1:15">
      <c r="A69" s="144"/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249"/>
      <c r="M69" s="243"/>
      <c r="N69" s="249"/>
      <c r="O69" s="244"/>
    </row>
    <row r="70" spans="1:15">
      <c r="A70" s="144"/>
      <c r="B70" s="254" t="s">
        <v>211</v>
      </c>
      <c r="C70" s="144"/>
      <c r="D70" s="144"/>
      <c r="E70" s="144"/>
      <c r="F70" s="144"/>
      <c r="G70" s="144"/>
      <c r="H70" s="144"/>
      <c r="I70" s="144"/>
      <c r="J70" s="144"/>
      <c r="K70" s="144"/>
      <c r="L70" s="249"/>
      <c r="M70" s="243"/>
      <c r="N70" s="249"/>
      <c r="O70" s="244"/>
    </row>
    <row r="71" spans="1:15">
      <c r="A71" s="144"/>
      <c r="B71" s="241">
        <v>45657</v>
      </c>
      <c r="C71" s="146">
        <f>2141+254+12944</f>
        <v>15339</v>
      </c>
      <c r="E71" s="144">
        <v>1000</v>
      </c>
      <c r="F71" s="630">
        <f>D38*E71</f>
        <v>49130</v>
      </c>
      <c r="G71" s="144"/>
      <c r="H71" s="242">
        <f>944+15149</f>
        <v>16093</v>
      </c>
      <c r="I71" s="243">
        <f>Beta!H78</f>
        <v>2.5535420098846684E-2</v>
      </c>
      <c r="J71" s="242">
        <v>1100</v>
      </c>
      <c r="K71" s="244">
        <f>I71*J71</f>
        <v>28.088962108731351</v>
      </c>
      <c r="L71" s="144"/>
      <c r="M71" s="243" t="e">
        <f>Beta!#REF!</f>
        <v>#REF!</v>
      </c>
      <c r="N71" s="144"/>
      <c r="O71" s="144"/>
    </row>
    <row r="72" spans="1:15">
      <c r="A72" s="144"/>
      <c r="B72" s="241">
        <v>45291</v>
      </c>
      <c r="C72" s="144">
        <f>428+264+15548</f>
        <v>16240</v>
      </c>
      <c r="E72" s="144">
        <v>1200</v>
      </c>
      <c r="F72" s="630">
        <f>D39*E72</f>
        <v>47556</v>
      </c>
      <c r="G72" s="144"/>
      <c r="H72" s="242">
        <f>396+15493</f>
        <v>15889</v>
      </c>
      <c r="I72" s="243">
        <f>Beta!H130</f>
        <v>0.10076857386848848</v>
      </c>
      <c r="J72" s="242">
        <v>1400</v>
      </c>
      <c r="K72" s="244">
        <f>I72*J72</f>
        <v>141.07600341588386</v>
      </c>
      <c r="L72" s="144"/>
      <c r="M72" s="243" t="e">
        <f>Beta!#REF!</f>
        <v>#REF!</v>
      </c>
      <c r="N72" s="144"/>
      <c r="O72" s="144"/>
    </row>
    <row r="73" spans="1:15">
      <c r="A73" s="144"/>
      <c r="B73" s="241">
        <v>44926</v>
      </c>
      <c r="C73" s="144">
        <f>1959+247+15504</f>
        <v>17710</v>
      </c>
      <c r="E73" s="144">
        <v>1400</v>
      </c>
      <c r="F73" s="630">
        <f>D40*E73</f>
        <v>54852</v>
      </c>
      <c r="G73" s="144"/>
      <c r="H73" s="242">
        <f>450+20842</f>
        <v>21292</v>
      </c>
      <c r="I73" s="243">
        <f>Beta!H182</f>
        <v>-5.4991034070531963E-2</v>
      </c>
      <c r="J73" s="242">
        <v>1400</v>
      </c>
      <c r="K73" s="244">
        <f>I73*J73</f>
        <v>-76.987447698744745</v>
      </c>
      <c r="L73" s="144"/>
      <c r="M73" s="243" t="e">
        <f>Beta!#REF!</f>
        <v>#REF!</v>
      </c>
      <c r="N73" s="144"/>
      <c r="O73" s="144"/>
    </row>
    <row r="74" spans="1:15">
      <c r="A74" s="144"/>
      <c r="B74" s="144"/>
      <c r="C74" s="144"/>
      <c r="E74" s="144"/>
      <c r="F74" s="630"/>
      <c r="G74" s="144"/>
      <c r="H74" s="238"/>
      <c r="I74" s="247"/>
      <c r="J74" s="238"/>
      <c r="K74" s="244"/>
      <c r="L74" s="144"/>
      <c r="M74" s="247"/>
      <c r="N74" s="144"/>
      <c r="O74" s="144"/>
    </row>
    <row r="75" spans="1:15">
      <c r="B75" s="116" t="s">
        <v>217</v>
      </c>
      <c r="F75" s="631"/>
      <c r="H75" s="238"/>
      <c r="I75" s="247"/>
      <c r="J75" s="238"/>
      <c r="K75" s="244"/>
      <c r="M75" s="247"/>
    </row>
    <row r="76" spans="1:15">
      <c r="B76" s="241">
        <v>45657</v>
      </c>
      <c r="C76" s="146">
        <f>632+1030+18187</f>
        <v>19849</v>
      </c>
      <c r="E76" s="146">
        <v>3974</v>
      </c>
      <c r="F76" s="630">
        <f>D43*E76</f>
        <v>37951.700000000004</v>
      </c>
      <c r="H76" s="242">
        <f>536+990+19071</f>
        <v>20597</v>
      </c>
      <c r="I76" s="243" t="e">
        <f>Beta!#REF!</f>
        <v>#REF!</v>
      </c>
      <c r="J76" s="242">
        <v>4002</v>
      </c>
      <c r="K76" s="244" t="e">
        <f>I76*J76</f>
        <v>#REF!</v>
      </c>
      <c r="M76" s="243">
        <f>Beta!M78</f>
        <v>0.25114942528735651</v>
      </c>
    </row>
    <row r="77" spans="1:15">
      <c r="B77" s="241">
        <v>45291</v>
      </c>
      <c r="C77" s="146">
        <f>362+83+18861</f>
        <v>19306</v>
      </c>
      <c r="E77" s="146">
        <v>3973</v>
      </c>
      <c r="F77" s="630">
        <f>D44*E77</f>
        <v>48232.22</v>
      </c>
      <c r="H77" s="242">
        <f>284+153+19333</f>
        <v>19770</v>
      </c>
      <c r="I77" s="243" t="e">
        <f>Beta!#REF!</f>
        <v>#REF!</v>
      </c>
      <c r="J77" s="242">
        <v>3974</v>
      </c>
      <c r="K77" s="244" t="e">
        <f>I77*J77</f>
        <v>#REF!</v>
      </c>
      <c r="M77" s="243">
        <f>Beta!M130</f>
        <v>8.0499354283254387E-2</v>
      </c>
    </row>
    <row r="78" spans="1:15">
      <c r="B78" s="241">
        <v>44926</v>
      </c>
      <c r="C78" s="146">
        <f>359+285+18712</f>
        <v>19356</v>
      </c>
      <c r="E78" s="146">
        <v>3986</v>
      </c>
      <c r="F78" s="630">
        <f>D45*E78</f>
        <v>46676.060000000005</v>
      </c>
      <c r="H78" s="242">
        <f>783+429+19073</f>
        <v>20285</v>
      </c>
      <c r="I78" s="243" t="e">
        <f>Beta!#REF!</f>
        <v>#REF!</v>
      </c>
      <c r="J78" s="242">
        <v>4020</v>
      </c>
      <c r="K78" s="244" t="e">
        <f>I78*J78</f>
        <v>#REF!</v>
      </c>
      <c r="M78" s="243">
        <f>Beta!M182</f>
        <v>-2.3664395840803154E-2</v>
      </c>
    </row>
    <row r="79" spans="1:15">
      <c r="B79" s="238"/>
      <c r="F79" s="631"/>
      <c r="H79" s="238"/>
      <c r="I79" s="247"/>
      <c r="J79" s="238"/>
      <c r="K79" s="244"/>
      <c r="M79" s="247"/>
    </row>
    <row r="80" spans="1:15">
      <c r="B80" s="116" t="s">
        <v>216</v>
      </c>
      <c r="F80" s="631"/>
      <c r="H80" s="238"/>
      <c r="I80" s="247"/>
      <c r="J80" s="238"/>
      <c r="K80" s="244"/>
      <c r="M80" s="247"/>
    </row>
    <row r="81" spans="2:13">
      <c r="B81" s="241">
        <v>45657</v>
      </c>
      <c r="C81" s="146">
        <f>2343+5535</f>
        <v>7878</v>
      </c>
      <c r="E81" s="146">
        <v>3216</v>
      </c>
      <c r="F81" s="630" t="e">
        <f>D98*E81</f>
        <v>#REF!</v>
      </c>
      <c r="H81" s="242">
        <f>2115+5275</f>
        <v>7390</v>
      </c>
      <c r="I81" s="243">
        <f>Beta!M78</f>
        <v>0.25114942528735651</v>
      </c>
      <c r="J81" s="242">
        <v>3207</v>
      </c>
      <c r="K81" s="244">
        <f>I81*J81</f>
        <v>805.43620689655233</v>
      </c>
      <c r="M81" s="243">
        <f>Beta!Q78</f>
        <v>5137.08</v>
      </c>
    </row>
    <row r="82" spans="2:13">
      <c r="B82" s="241">
        <v>45291</v>
      </c>
      <c r="C82" s="146">
        <f>1975+2682</f>
        <v>4657</v>
      </c>
      <c r="E82" s="146">
        <v>3185</v>
      </c>
      <c r="F82" s="630" t="e">
        <f>D99*E82</f>
        <v>#REF!</v>
      </c>
      <c r="H82" s="242">
        <f>1552+2152</f>
        <v>3704</v>
      </c>
      <c r="I82" s="243">
        <f>Beta!M130</f>
        <v>8.0499354283254387E-2</v>
      </c>
      <c r="J82" s="242">
        <v>3179</v>
      </c>
      <c r="K82" s="244">
        <f>I82*J82</f>
        <v>255.90744726646571</v>
      </c>
      <c r="M82" s="243">
        <f>Beta!Q130</f>
        <v>4045.64</v>
      </c>
    </row>
    <row r="83" spans="2:13">
      <c r="B83" s="241">
        <v>44926</v>
      </c>
      <c r="C83" s="146">
        <f>1016+1029</f>
        <v>2045</v>
      </c>
      <c r="E83" s="146">
        <v>3164</v>
      </c>
      <c r="F83" s="630" t="e">
        <f>D100*E83</f>
        <v>#REF!</v>
      </c>
      <c r="H83" s="242">
        <f>979+1418</f>
        <v>2397</v>
      </c>
      <c r="I83" s="243">
        <f>Beta!M182</f>
        <v>-2.3664395840803154E-2</v>
      </c>
      <c r="J83" s="242">
        <v>3158</v>
      </c>
      <c r="K83" s="244">
        <f>I83*J83</f>
        <v>-74.732162065256361</v>
      </c>
      <c r="M83" s="243">
        <f>Beta!Q182</f>
        <v>4328.87</v>
      </c>
    </row>
    <row r="84" spans="2:13">
      <c r="B84" s="238"/>
      <c r="F84" s="631"/>
      <c r="H84" s="238"/>
      <c r="I84" s="247"/>
      <c r="J84" s="238"/>
      <c r="K84" s="244"/>
      <c r="M84" s="247"/>
    </row>
    <row r="85" spans="2:13">
      <c r="B85" s="121" t="s">
        <v>219</v>
      </c>
      <c r="F85" s="631"/>
      <c r="H85" s="238"/>
      <c r="I85" s="247"/>
      <c r="J85" s="238"/>
      <c r="K85" s="244"/>
      <c r="M85" s="247"/>
    </row>
    <row r="86" spans="2:13">
      <c r="B86" s="241">
        <v>45657</v>
      </c>
      <c r="C86" s="146">
        <f>281+8151</f>
        <v>8432</v>
      </c>
      <c r="E86" s="146">
        <v>977</v>
      </c>
      <c r="F86" s="630">
        <f>D48*E86</f>
        <v>30023.21</v>
      </c>
      <c r="H86" s="249">
        <f>942+7938</f>
        <v>8880</v>
      </c>
      <c r="I86" s="243">
        <f>Beta!Q78</f>
        <v>5137.08</v>
      </c>
      <c r="J86" s="249">
        <v>997</v>
      </c>
      <c r="K86" s="244">
        <f>I86*J86</f>
        <v>5121668.76</v>
      </c>
      <c r="M86" s="243">
        <f>Beta!U78</f>
        <v>0</v>
      </c>
    </row>
    <row r="87" spans="2:13">
      <c r="B87" s="241">
        <v>45291</v>
      </c>
      <c r="C87" s="146">
        <f>6975+1747</f>
        <v>8722</v>
      </c>
      <c r="E87" s="146">
        <v>992</v>
      </c>
      <c r="F87" s="630">
        <f>D49*E87</f>
        <v>34521.599999999999</v>
      </c>
      <c r="H87" s="249">
        <f>6309+1594</f>
        <v>7903</v>
      </c>
      <c r="I87" s="243">
        <f>Beta!Q130</f>
        <v>4045.64</v>
      </c>
      <c r="J87" s="249">
        <v>985</v>
      </c>
      <c r="K87" s="244">
        <f>I87*J87</f>
        <v>3984955.4</v>
      </c>
      <c r="M87" s="243">
        <f>Beta!U130</f>
        <v>0</v>
      </c>
    </row>
    <row r="88" spans="2:13">
      <c r="B88" s="241">
        <v>44926</v>
      </c>
      <c r="C88" s="146">
        <f>390+9230</f>
        <v>9620</v>
      </c>
      <c r="E88" s="146">
        <v>1003</v>
      </c>
      <c r="F88" s="630">
        <f>D50*E88</f>
        <v>23299.69</v>
      </c>
      <c r="H88" s="249">
        <f>528+8964</f>
        <v>9492</v>
      </c>
      <c r="I88" s="243">
        <f>Beta!Q182</f>
        <v>4328.87</v>
      </c>
      <c r="J88" s="249">
        <v>975</v>
      </c>
      <c r="K88" s="244">
        <f>I88*J88</f>
        <v>4220648.25</v>
      </c>
      <c r="M88" s="243">
        <f>Beta!U182</f>
        <v>0</v>
      </c>
    </row>
    <row r="97" spans="2:7">
      <c r="B97" s="116" t="s">
        <v>216</v>
      </c>
      <c r="F97" s="244"/>
      <c r="G97" s="238"/>
    </row>
    <row r="98" spans="2:7">
      <c r="B98" s="241">
        <v>45565</v>
      </c>
      <c r="C98" s="146">
        <f>2343+5535</f>
        <v>7878</v>
      </c>
      <c r="D98" s="146" t="e">
        <f>Beta!#REF!</f>
        <v>#REF!</v>
      </c>
      <c r="E98" s="146">
        <v>3216</v>
      </c>
      <c r="F98" s="244" t="e">
        <f t="shared" ref="F98:F100" si="3">D98*E98</f>
        <v>#REF!</v>
      </c>
      <c r="G98" s="245">
        <v>0.21</v>
      </c>
    </row>
    <row r="99" spans="2:7">
      <c r="B99" s="241">
        <v>45199</v>
      </c>
      <c r="C99" s="146">
        <f>1975+2682</f>
        <v>4657</v>
      </c>
      <c r="D99" s="146" t="e">
        <f>Beta!#REF!</f>
        <v>#REF!</v>
      </c>
      <c r="E99" s="146">
        <v>3185</v>
      </c>
      <c r="F99" s="244" t="e">
        <f t="shared" si="3"/>
        <v>#REF!</v>
      </c>
      <c r="G99" s="245">
        <v>0.21</v>
      </c>
    </row>
    <row r="100" spans="2:7">
      <c r="B100" s="241">
        <v>44834</v>
      </c>
      <c r="C100" s="146">
        <f>1016+1029</f>
        <v>2045</v>
      </c>
      <c r="D100" s="146" t="e">
        <f>Beta!#REF!</f>
        <v>#REF!</v>
      </c>
      <c r="E100" s="146">
        <v>3164</v>
      </c>
      <c r="F100" s="244" t="e">
        <f t="shared" si="3"/>
        <v>#REF!</v>
      </c>
      <c r="G100" s="245">
        <v>0.21</v>
      </c>
    </row>
  </sheetData>
  <mergeCells count="5">
    <mergeCell ref="B13:C13"/>
    <mergeCell ref="D35:F35"/>
    <mergeCell ref="C36:C37"/>
    <mergeCell ref="D36:F36"/>
    <mergeCell ref="B64:G64"/>
  </mergeCells>
  <dataValidations count="2">
    <dataValidation type="list" allowBlank="1" showInputMessage="1" showErrorMessage="1" sqref="G2" xr:uid="{00000000-0002-0000-0800-000000000000}">
      <formula1>#REF!</formula1>
    </dataValidation>
    <dataValidation type="list" allowBlank="1" showInputMessage="1" showErrorMessage="1" sqref="C3" xr:uid="{00000000-0002-0000-0800-000001000000}">
      <formula1>$A$29:$A$30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62"/>
  <sheetViews>
    <sheetView topLeftCell="A15" workbookViewId="0">
      <selection activeCell="D57" sqref="D57"/>
    </sheetView>
  </sheetViews>
  <sheetFormatPr defaultColWidth="8.85546875" defaultRowHeight="15"/>
  <cols>
    <col min="1" max="1" width="6.7109375" style="382" customWidth="1"/>
    <col min="2" max="2" width="56.42578125" style="382" bestFit="1" customWidth="1"/>
    <col min="3" max="3" width="10" style="382" bestFit="1" customWidth="1"/>
    <col min="4" max="4" width="21.85546875" style="382" bestFit="1" customWidth="1"/>
    <col min="5" max="9" width="10.7109375" style="382" customWidth="1"/>
    <col min="10" max="10" width="6.7109375" style="382" customWidth="1"/>
    <col min="11" max="11" width="7.7109375" style="382" customWidth="1"/>
    <col min="12" max="20" width="6.7109375" style="382" customWidth="1"/>
    <col min="21" max="16384" width="8.85546875" style="382"/>
  </cols>
  <sheetData>
    <row r="1" spans="1:10" ht="15.75">
      <c r="B1" s="145" t="s">
        <v>607</v>
      </c>
      <c r="C1" s="145"/>
    </row>
    <row r="2" spans="1:10">
      <c r="B2" s="301" t="s">
        <v>20</v>
      </c>
      <c r="C2" s="301"/>
      <c r="D2" s="383"/>
      <c r="E2" s="383"/>
    </row>
    <row r="3" spans="1:10">
      <c r="B3" s="383" t="s">
        <v>2</v>
      </c>
      <c r="C3" s="384">
        <v>45744</v>
      </c>
      <c r="D3" s="385"/>
      <c r="E3" s="383"/>
    </row>
    <row r="4" spans="1:10">
      <c r="B4" s="383" t="s">
        <v>338</v>
      </c>
      <c r="C4" s="384"/>
      <c r="D4" s="385"/>
      <c r="E4" s="383"/>
    </row>
    <row r="5" spans="1:10">
      <c r="B5" s="383" t="s">
        <v>339</v>
      </c>
      <c r="C5" s="383">
        <v>2</v>
      </c>
      <c r="D5" s="273"/>
      <c r="E5" s="383"/>
    </row>
    <row r="6" spans="1:10">
      <c r="B6" s="383" t="s">
        <v>238</v>
      </c>
      <c r="C6" s="386">
        <f>WACC!N8</f>
        <v>7.9030954939987116E-2</v>
      </c>
      <c r="D6" s="273"/>
      <c r="E6" s="383"/>
    </row>
    <row r="7" spans="1:10">
      <c r="A7" s="383"/>
      <c r="B7" s="383" t="s">
        <v>252</v>
      </c>
      <c r="C7" s="387">
        <v>0.21</v>
      </c>
      <c r="D7" s="383"/>
      <c r="E7" s="383"/>
      <c r="F7" s="383"/>
      <c r="G7" s="383"/>
      <c r="H7" s="383"/>
    </row>
    <row r="8" spans="1:10">
      <c r="A8" s="388"/>
      <c r="B8" s="389"/>
      <c r="C8" s="389"/>
      <c r="J8" s="390"/>
    </row>
    <row r="9" spans="1:10">
      <c r="A9" s="388"/>
      <c r="B9" s="389" t="s">
        <v>340</v>
      </c>
      <c r="C9" s="316">
        <f>C3</f>
        <v>45744</v>
      </c>
      <c r="D9" s="316">
        <v>46022</v>
      </c>
      <c r="E9" s="316">
        <v>46387</v>
      </c>
      <c r="F9" s="316">
        <v>46752</v>
      </c>
      <c r="G9" s="316">
        <v>47118</v>
      </c>
      <c r="H9" s="316">
        <v>47483</v>
      </c>
      <c r="J9" s="391"/>
    </row>
    <row r="10" spans="1:10">
      <c r="A10" s="388"/>
      <c r="B10" s="389" t="s">
        <v>341</v>
      </c>
      <c r="C10" s="392">
        <f>C3</f>
        <v>45744</v>
      </c>
      <c r="D10" s="392">
        <f>AVERAGE(C9:D9)</f>
        <v>45883</v>
      </c>
      <c r="E10" s="392">
        <f>AVERAGE(D9:E9)</f>
        <v>46204.5</v>
      </c>
      <c r="F10" s="392">
        <f>AVERAGE(E9:F9)</f>
        <v>46569.5</v>
      </c>
      <c r="G10" s="392">
        <f>AVERAGE(F9:G9)</f>
        <v>46935</v>
      </c>
      <c r="H10" s="392">
        <f>AVERAGE(G9:H9)</f>
        <v>47300.5</v>
      </c>
    </row>
    <row r="11" spans="1:10">
      <c r="A11" s="383"/>
      <c r="B11" s="383" t="s">
        <v>342</v>
      </c>
      <c r="C11" s="383"/>
      <c r="D11" s="393">
        <f>'GM-IS'!H35</f>
        <v>18760.914359350336</v>
      </c>
      <c r="E11" s="393">
        <f>'GM-IS'!I35</f>
        <v>21034.206292902341</v>
      </c>
      <c r="F11" s="393">
        <f>'GM-IS'!J35</f>
        <v>23600.030795676554</v>
      </c>
      <c r="G11" s="393">
        <f>'GM-IS'!K35</f>
        <v>26497.744594930438</v>
      </c>
      <c r="H11" s="393">
        <f>'GM-IS'!L35</f>
        <v>29772.31319339354</v>
      </c>
    </row>
    <row r="12" spans="1:10">
      <c r="A12" s="383"/>
      <c r="B12" s="383" t="s">
        <v>252</v>
      </c>
      <c r="C12" s="383"/>
      <c r="D12" s="394">
        <f t="shared" ref="D12:H12" si="0">$C$7*D11</f>
        <v>3939.7920154635704</v>
      </c>
      <c r="E12" s="394">
        <f t="shared" si="0"/>
        <v>4417.1833215094912</v>
      </c>
      <c r="F12" s="394">
        <f t="shared" si="0"/>
        <v>4956.0064670920765</v>
      </c>
      <c r="G12" s="394">
        <f t="shared" si="0"/>
        <v>5564.5263649353919</v>
      </c>
      <c r="H12" s="394">
        <f t="shared" si="0"/>
        <v>6252.185770612643</v>
      </c>
    </row>
    <row r="13" spans="1:10">
      <c r="A13" s="388"/>
      <c r="B13" s="388" t="s">
        <v>343</v>
      </c>
      <c r="C13" s="388"/>
      <c r="D13" s="395">
        <f t="shared" ref="D13:H13" si="1">D11-D12</f>
        <v>14821.122343886766</v>
      </c>
      <c r="E13" s="395">
        <f t="shared" si="1"/>
        <v>16617.022971392849</v>
      </c>
      <c r="F13" s="395">
        <f t="shared" si="1"/>
        <v>18644.024328584477</v>
      </c>
      <c r="G13" s="395">
        <f t="shared" si="1"/>
        <v>20933.218229995047</v>
      </c>
      <c r="H13" s="395">
        <f t="shared" si="1"/>
        <v>23520.127422780897</v>
      </c>
    </row>
    <row r="14" spans="1:10">
      <c r="A14" s="383"/>
      <c r="B14" s="396" t="s">
        <v>344</v>
      </c>
      <c r="C14" s="396"/>
      <c r="D14" s="397">
        <f>'GM-CFS'!I9</f>
        <v>10492.051484953085</v>
      </c>
      <c r="E14" s="397">
        <f>'GM-CFS'!J9</f>
        <v>11735.360250786751</v>
      </c>
      <c r="F14" s="397">
        <f>'GM-CFS'!K9</f>
        <v>13139.413037488419</v>
      </c>
      <c r="G14" s="397">
        <f>'GM-CFS'!L9</f>
        <v>14725.814856061972</v>
      </c>
      <c r="H14" s="397">
        <f>'GM-CFS'!M9</f>
        <v>16519.250276026523</v>
      </c>
    </row>
    <row r="15" spans="1:10">
      <c r="A15" s="383"/>
      <c r="B15" s="396" t="s">
        <v>345</v>
      </c>
      <c r="C15" s="396"/>
      <c r="D15" s="398">
        <f>'GM-CFS'!I12</f>
        <v>-1135.8785506068743</v>
      </c>
      <c r="E15" s="398">
        <f>'GM-CFS'!J12</f>
        <v>-1262.4673222021156</v>
      </c>
      <c r="F15" s="398">
        <f>'GM-CFS'!K12</f>
        <v>-1425.1946068233228</v>
      </c>
      <c r="G15" s="398">
        <f>'GM-CFS'!L12</f>
        <v>-1603.4339314900935</v>
      </c>
      <c r="H15" s="398">
        <f>'GM-CFS'!M12</f>
        <v>-1825.7978549461259</v>
      </c>
    </row>
    <row r="16" spans="1:10">
      <c r="A16" s="383"/>
      <c r="B16" s="396" t="s">
        <v>346</v>
      </c>
      <c r="C16" s="396"/>
      <c r="D16" s="393">
        <f>'GM-CFS'!I16</f>
        <v>-601.45082118446101</v>
      </c>
      <c r="E16" s="393">
        <f>'GM-CFS'!J16</f>
        <v>-20484.982761892647</v>
      </c>
      <c r="F16" s="393">
        <f>'GM-CFS'!K16</f>
        <v>-23034.276210788692</v>
      </c>
      <c r="G16" s="393">
        <f>'GM-CFS'!L16</f>
        <v>-25919.45356282443</v>
      </c>
      <c r="H16" s="393">
        <f>'GM-CFS'!M16</f>
        <v>-29187.095290505993</v>
      </c>
    </row>
    <row r="17" spans="1:20">
      <c r="A17" s="388"/>
      <c r="B17" s="388" t="s">
        <v>347</v>
      </c>
      <c r="C17" s="388">
        <v>0</v>
      </c>
      <c r="D17" s="395">
        <f t="shared" ref="D17:H17" si="2">SUM(D13:D16)</f>
        <v>23575.844457048512</v>
      </c>
      <c r="E17" s="395">
        <f t="shared" si="2"/>
        <v>6604.933138084838</v>
      </c>
      <c r="F17" s="395">
        <f t="shared" si="2"/>
        <v>7323.9665484608813</v>
      </c>
      <c r="G17" s="395">
        <f t="shared" si="2"/>
        <v>8136.1455917424937</v>
      </c>
      <c r="H17" s="395">
        <f t="shared" si="2"/>
        <v>9026.4845533553053</v>
      </c>
      <c r="J17" s="399"/>
    </row>
    <row r="18" spans="1:20">
      <c r="A18" s="400"/>
      <c r="B18" s="383" t="s">
        <v>348</v>
      </c>
      <c r="C18" s="383"/>
      <c r="D18" s="401"/>
      <c r="E18" s="401"/>
      <c r="F18" s="401"/>
      <c r="G18" s="401"/>
      <c r="H18" s="401"/>
    </row>
    <row r="19" spans="1:20">
      <c r="A19" s="402"/>
      <c r="B19" s="388" t="s">
        <v>349</v>
      </c>
      <c r="C19" s="403">
        <f>XNPV(C6,C17:H17,C9:H9)</f>
        <v>46354.649421800219</v>
      </c>
      <c r="D19" s="401"/>
      <c r="E19" s="401"/>
      <c r="F19" s="401"/>
      <c r="G19" s="401"/>
      <c r="H19" s="401"/>
    </row>
    <row r="20" spans="1:20">
      <c r="A20" s="404"/>
      <c r="B20" s="383" t="s">
        <v>350</v>
      </c>
      <c r="C20" s="403">
        <f>XNPV(C6,C17:H17,C10:H10)</f>
        <v>47945.598045814506</v>
      </c>
      <c r="D20" s="405"/>
      <c r="E20" s="405"/>
      <c r="F20" s="405"/>
      <c r="G20" s="405"/>
      <c r="H20" s="405"/>
    </row>
    <row r="21" spans="1:20" ht="15.75" thickBot="1">
      <c r="A21" s="383"/>
      <c r="B21" s="383"/>
      <c r="C21" s="383"/>
      <c r="D21" s="393"/>
      <c r="E21" s="406"/>
      <c r="F21" s="406"/>
      <c r="G21" s="406"/>
      <c r="H21" s="406"/>
    </row>
    <row r="22" spans="1:20" ht="15.75" thickBot="1">
      <c r="A22" s="383"/>
      <c r="B22" s="388" t="s">
        <v>351</v>
      </c>
      <c r="C22" s="388"/>
      <c r="D22" s="407">
        <f>CHOOSE(C5,C19,C20)</f>
        <v>47945.598045814506</v>
      </c>
      <c r="E22" s="383"/>
      <c r="F22" s="383"/>
      <c r="G22" s="383"/>
      <c r="H22" s="383"/>
    </row>
    <row r="23" spans="1:20">
      <c r="A23" s="383"/>
      <c r="B23" s="383"/>
      <c r="C23" s="383"/>
      <c r="D23" s="383"/>
      <c r="E23" s="393"/>
      <c r="F23" s="406"/>
      <c r="G23" s="406"/>
      <c r="H23" s="406"/>
    </row>
    <row r="24" spans="1:20" ht="19.5" customHeight="1">
      <c r="A24" s="383"/>
      <c r="B24" s="719" t="s">
        <v>352</v>
      </c>
      <c r="C24" s="719"/>
      <c r="D24" s="720" t="s">
        <v>353</v>
      </c>
      <c r="F24" s="408"/>
      <c r="G24" s="393"/>
      <c r="H24" s="393"/>
      <c r="L24" s="808" t="s">
        <v>354</v>
      </c>
      <c r="M24" s="808"/>
      <c r="N24" s="808"/>
      <c r="O24" s="808"/>
      <c r="P24" s="808"/>
      <c r="Q24" s="808"/>
      <c r="R24" s="808"/>
      <c r="S24" s="808"/>
      <c r="T24" s="808"/>
    </row>
    <row r="25" spans="1:20">
      <c r="A25" s="383"/>
      <c r="B25" s="717" t="s">
        <v>355</v>
      </c>
      <c r="C25" s="717"/>
      <c r="D25" s="726">
        <v>2.12E-2</v>
      </c>
      <c r="E25" s="408" t="s">
        <v>356</v>
      </c>
      <c r="G25" s="393"/>
      <c r="H25" s="393"/>
      <c r="J25" s="406"/>
      <c r="K25" s="383"/>
      <c r="L25" s="809" t="s">
        <v>238</v>
      </c>
      <c r="M25" s="809"/>
      <c r="N25" s="809"/>
      <c r="O25" s="809"/>
      <c r="P25" s="809"/>
      <c r="Q25" s="809"/>
      <c r="R25" s="809"/>
      <c r="S25" s="809"/>
      <c r="T25" s="809"/>
    </row>
    <row r="26" spans="1:20">
      <c r="A26" s="383"/>
      <c r="B26" s="717" t="s">
        <v>357</v>
      </c>
      <c r="C26" s="717"/>
      <c r="D26" s="727">
        <f>H17*(1+D25)/(C6-D25)</f>
        <v>159392.94164262144</v>
      </c>
      <c r="F26" s="393"/>
      <c r="G26" s="393"/>
      <c r="H26" s="393"/>
      <c r="J26" s="393"/>
      <c r="K26" s="409">
        <f>D37</f>
        <v>65.118419684358855</v>
      </c>
      <c r="L26" s="410">
        <v>7.0699999999999999E-2</v>
      </c>
      <c r="M26" s="410">
        <f t="shared" ref="M26:T26" si="3">L26+0.25%</f>
        <v>7.3200000000000001E-2</v>
      </c>
      <c r="N26" s="410">
        <f t="shared" si="3"/>
        <v>7.5700000000000003E-2</v>
      </c>
      <c r="O26" s="410">
        <f t="shared" si="3"/>
        <v>7.8200000000000006E-2</v>
      </c>
      <c r="P26" s="410">
        <f t="shared" si="3"/>
        <v>8.0700000000000008E-2</v>
      </c>
      <c r="Q26" s="410">
        <f t="shared" si="3"/>
        <v>8.320000000000001E-2</v>
      </c>
      <c r="R26" s="410">
        <f t="shared" si="3"/>
        <v>8.5700000000000012E-2</v>
      </c>
      <c r="S26" s="410">
        <f t="shared" si="3"/>
        <v>8.8200000000000014E-2</v>
      </c>
      <c r="T26" s="410">
        <f t="shared" si="3"/>
        <v>9.0700000000000017E-2</v>
      </c>
    </row>
    <row r="27" spans="1:20" ht="15" customHeight="1">
      <c r="A27" s="383"/>
      <c r="B27" s="717" t="s">
        <v>605</v>
      </c>
      <c r="C27" s="717"/>
      <c r="D27" s="722">
        <f>(H10-C10)/365</f>
        <v>4.2643835616438359</v>
      </c>
      <c r="F27" s="393"/>
      <c r="G27" s="393"/>
      <c r="H27" s="393"/>
      <c r="J27" s="810" t="s">
        <v>358</v>
      </c>
      <c r="K27" s="411">
        <v>1.12E-2</v>
      </c>
      <c r="L27" s="412">
        <f t="dataTable" ref="L27:T35" dt2D="1" dtr="1" r1="C6" r2="D25" ca="1"/>
        <v>65.131787389327158</v>
      </c>
      <c r="M27" s="412">
        <v>59.90731373287695</v>
      </c>
      <c r="N27" s="412">
        <v>55.087791880599845</v>
      </c>
      <c r="O27" s="412">
        <v>50.627884712661142</v>
      </c>
      <c r="P27" s="412">
        <v>46.488778555641261</v>
      </c>
      <c r="Q27" s="412">
        <v>42.637050637677028</v>
      </c>
      <c r="R27" s="412">
        <v>39.043764572807852</v>
      </c>
      <c r="S27" s="412">
        <v>35.683742049707398</v>
      </c>
      <c r="T27" s="412">
        <v>32.534971937670107</v>
      </c>
    </row>
    <row r="28" spans="1:20" ht="15" customHeight="1">
      <c r="A28" s="383"/>
      <c r="B28" s="717" t="s">
        <v>359</v>
      </c>
      <c r="C28" s="717"/>
      <c r="D28" s="723">
        <f>PV(C6,D27,0,-D26,0)</f>
        <v>115239.09777782665</v>
      </c>
      <c r="E28" s="399" t="s">
        <v>360</v>
      </c>
      <c r="F28" s="393"/>
      <c r="G28" s="413"/>
      <c r="H28" s="393"/>
      <c r="J28" s="810"/>
      <c r="K28" s="411">
        <f t="shared" ref="K28:K35" si="4">K27+0.25%</f>
        <v>1.37E-2</v>
      </c>
      <c r="L28" s="412">
        <v>69.847266239300282</v>
      </c>
      <c r="M28" s="412">
        <v>64.20963264498522</v>
      </c>
      <c r="N28" s="412">
        <v>59.026566910345061</v>
      </c>
      <c r="O28" s="412">
        <v>54.245205678761977</v>
      </c>
      <c r="P28" s="412">
        <v>49.820575766994352</v>
      </c>
      <c r="Q28" s="412">
        <v>45.71417506715553</v>
      </c>
      <c r="R28" s="412">
        <v>41.892849094152609</v>
      </c>
      <c r="S28" s="414">
        <v>38.327893731665533</v>
      </c>
      <c r="T28" s="414">
        <v>34.994332767904304</v>
      </c>
    </row>
    <row r="29" spans="1:20">
      <c r="A29" s="383"/>
      <c r="B29" s="718" t="s">
        <v>361</v>
      </c>
      <c r="C29" s="718"/>
      <c r="D29" s="724">
        <f>D22+D28</f>
        <v>163184.69582364114</v>
      </c>
      <c r="E29" s="399" t="s">
        <v>306</v>
      </c>
      <c r="F29" s="408"/>
      <c r="G29" s="393"/>
      <c r="H29" s="393"/>
      <c r="J29" s="810"/>
      <c r="K29" s="411">
        <f t="shared" si="4"/>
        <v>1.6199999999999999E-2</v>
      </c>
      <c r="L29" s="412">
        <v>74.995357827803034</v>
      </c>
      <c r="M29" s="412">
        <v>68.889347952892507</v>
      </c>
      <c r="N29" s="415">
        <v>63.296331438388187</v>
      </c>
      <c r="O29" s="416">
        <v>58.154246077612889</v>
      </c>
      <c r="P29" s="416">
        <v>53.410651831940712</v>
      </c>
      <c r="Q29" s="416">
        <v>49.02093564808758</v>
      </c>
      <c r="R29" s="417">
        <v>44.946903724946665</v>
      </c>
      <c r="S29" s="414">
        <v>41.155667058204102</v>
      </c>
      <c r="T29" s="414">
        <v>37.618751371979734</v>
      </c>
    </row>
    <row r="30" spans="1:20">
      <c r="A30" s="383"/>
      <c r="B30" s="717" t="s">
        <v>362</v>
      </c>
      <c r="C30" s="717"/>
      <c r="D30" s="723">
        <f>'GM-BS'!G21+'GM-BS'!G16</f>
        <v>15447</v>
      </c>
      <c r="F30" s="393"/>
      <c r="G30" s="393"/>
      <c r="H30" s="393"/>
      <c r="J30" s="810"/>
      <c r="K30" s="411">
        <f t="shared" si="4"/>
        <v>1.8699999999999998E-2</v>
      </c>
      <c r="L30" s="412">
        <v>80.638458222892581</v>
      </c>
      <c r="M30" s="418">
        <v>73.998394940424305</v>
      </c>
      <c r="N30" s="419">
        <v>67.94063671450526</v>
      </c>
      <c r="O30" s="418">
        <v>62.391777266283178</v>
      </c>
      <c r="P30" s="418">
        <v>57.290250160189174</v>
      </c>
      <c r="Q30" s="418">
        <v>52.584034258549288</v>
      </c>
      <c r="R30" s="420">
        <v>48.228872880426806</v>
      </c>
      <c r="S30" s="414">
        <v>44.186877314709456</v>
      </c>
      <c r="T30" s="414">
        <v>40.425421268004811</v>
      </c>
    </row>
    <row r="31" spans="1:20">
      <c r="A31" s="388"/>
      <c r="B31" s="718" t="s">
        <v>363</v>
      </c>
      <c r="C31" s="718"/>
      <c r="D31" s="724">
        <f>D29+D30</f>
        <v>178631.69582364114</v>
      </c>
      <c r="E31" s="399" t="s">
        <v>364</v>
      </c>
      <c r="F31" s="408"/>
      <c r="G31" s="408"/>
      <c r="H31" s="408"/>
      <c r="J31" s="810"/>
      <c r="K31" s="411">
        <f t="shared" si="4"/>
        <v>2.1199999999999997E-2</v>
      </c>
      <c r="L31" s="412">
        <v>86.851568758900314</v>
      </c>
      <c r="M31" s="418">
        <v>79.598696445987969</v>
      </c>
      <c r="N31" s="419">
        <v>73.011025043477161</v>
      </c>
      <c r="O31" s="418">
        <v>67.001021717117567</v>
      </c>
      <c r="P31" s="418">
        <v>61.49586515467702</v>
      </c>
      <c r="Q31" s="418">
        <v>56.434479531144994</v>
      </c>
      <c r="R31" s="420">
        <v>51.765258249510069</v>
      </c>
      <c r="S31" s="414">
        <v>47.444297291849551</v>
      </c>
      <c r="T31" s="414">
        <v>43.434009861585665</v>
      </c>
    </row>
    <row r="32" spans="1:20">
      <c r="A32" s="383"/>
      <c r="B32" s="717" t="s">
        <v>365</v>
      </c>
      <c r="C32" s="717"/>
      <c r="D32" s="723">
        <f>'GM-BS'!G31+'GM-BS'!G32+'GM-BS'!G39</f>
        <v>129732</v>
      </c>
      <c r="F32" s="393" t="s">
        <v>366</v>
      </c>
      <c r="G32" s="393"/>
      <c r="H32" s="393"/>
      <c r="J32" s="810"/>
      <c r="K32" s="411">
        <f t="shared" si="4"/>
        <v>2.3699999999999995E-2</v>
      </c>
      <c r="L32" s="412">
        <v>93.725648500866299</v>
      </c>
      <c r="M32" s="418">
        <v>85.764684972315749</v>
      </c>
      <c r="N32" s="419">
        <v>78.568950711773283</v>
      </c>
      <c r="O32" s="418">
        <v>72.03313263133127</v>
      </c>
      <c r="P32" s="418">
        <v>66.070393745172595</v>
      </c>
      <c r="Q32" s="418">
        <v>60.608491633370598</v>
      </c>
      <c r="R32" s="420">
        <v>55.586835987067801</v>
      </c>
      <c r="S32" s="414">
        <v>50.954230445512145</v>
      </c>
      <c r="T32" s="414">
        <v>46.667119992000934</v>
      </c>
    </row>
    <row r="33" spans="1:20">
      <c r="A33" s="383"/>
      <c r="B33" s="717" t="s">
        <v>367</v>
      </c>
      <c r="C33" s="717"/>
      <c r="D33" s="723">
        <f>'GM-BS'!G6+'GM-BS'!G7</f>
        <v>27137</v>
      </c>
      <c r="F33" s="408" t="s">
        <v>368</v>
      </c>
      <c r="G33" s="393"/>
      <c r="H33" s="393"/>
      <c r="J33" s="810"/>
      <c r="K33" s="411">
        <f t="shared" si="4"/>
        <v>2.6199999999999994E-2</v>
      </c>
      <c r="L33" s="412">
        <v>101.37209675316551</v>
      </c>
      <c r="M33" s="418">
        <v>92.586629724848478</v>
      </c>
      <c r="N33" s="421">
        <v>84.688283013230574</v>
      </c>
      <c r="O33" s="422">
        <v>77.549100364219314</v>
      </c>
      <c r="P33" s="422">
        <v>71.064603857731967</v>
      </c>
      <c r="Q33" s="422">
        <v>65.148645148072134</v>
      </c>
      <c r="R33" s="423">
        <v>59.729554710974917</v>
      </c>
      <c r="S33" s="414">
        <v>54.747222724470113</v>
      </c>
      <c r="T33" s="414">
        <v>50.15085881469642</v>
      </c>
    </row>
    <row r="34" spans="1:20">
      <c r="A34" s="383"/>
      <c r="B34" s="717" t="s">
        <v>369</v>
      </c>
      <c r="C34" s="717"/>
      <c r="D34" s="723">
        <f>'GM-BS'!G56</f>
        <v>2518</v>
      </c>
      <c r="F34" s="393" t="s">
        <v>370</v>
      </c>
      <c r="G34" s="393"/>
      <c r="H34" s="393"/>
      <c r="J34" s="810"/>
      <c r="K34" s="411">
        <f t="shared" si="4"/>
        <v>2.8699999999999993E-2</v>
      </c>
      <c r="L34" s="412">
        <v>109.92883646407178</v>
      </c>
      <c r="M34" s="418">
        <v>100.17508512373324</v>
      </c>
      <c r="N34" s="418">
        <v>91.458608112715254</v>
      </c>
      <c r="O34" s="418">
        <v>83.622236554974847</v>
      </c>
      <c r="P34" s="418">
        <v>76.53902648111432</v>
      </c>
      <c r="Q34" s="418">
        <v>70.105326508159123</v>
      </c>
      <c r="R34" s="418">
        <v>64.235669814172098</v>
      </c>
      <c r="S34" s="414">
        <v>58.858953850399296</v>
      </c>
      <c r="T34" s="414">
        <v>53.915544316641558</v>
      </c>
    </row>
    <row r="35" spans="1:20">
      <c r="A35" s="388"/>
      <c r="B35" s="718" t="s">
        <v>371</v>
      </c>
      <c r="C35" s="718"/>
      <c r="D35" s="724">
        <f>D31-D32+D33-D34</f>
        <v>73518.695823641145</v>
      </c>
      <c r="F35" s="393" t="s">
        <v>372</v>
      </c>
      <c r="G35" s="408"/>
      <c r="H35" s="408"/>
      <c r="J35" s="810"/>
      <c r="K35" s="411">
        <f t="shared" si="4"/>
        <v>3.1199999999999992E-2</v>
      </c>
      <c r="L35" s="412">
        <v>119.56870778395354</v>
      </c>
      <c r="M35" s="412">
        <v>108.66692807010436</v>
      </c>
      <c r="N35" s="412">
        <v>98.989643897535302</v>
      </c>
      <c r="O35" s="412">
        <v>90.341451063895889</v>
      </c>
      <c r="P35" s="412">
        <v>82.566421086656533</v>
      </c>
      <c r="Q35" s="412">
        <v>75.53861184517757</v>
      </c>
      <c r="R35" s="412">
        <v>69.155189972708541</v>
      </c>
      <c r="S35" s="414">
        <v>63.331363145269712</v>
      </c>
      <c r="T35" s="414">
        <v>57.996589944800569</v>
      </c>
    </row>
    <row r="36" spans="1:20">
      <c r="A36" s="383"/>
      <c r="B36" s="717" t="s">
        <v>373</v>
      </c>
      <c r="C36" s="717"/>
      <c r="D36" s="723">
        <f>Raw!H58</f>
        <v>1129</v>
      </c>
      <c r="F36" s="393"/>
      <c r="G36" s="393"/>
      <c r="H36" s="393"/>
      <c r="L36" s="412"/>
      <c r="M36" s="412"/>
      <c r="N36" s="412"/>
      <c r="O36" s="412"/>
      <c r="P36" s="412"/>
      <c r="Q36" s="412"/>
      <c r="R36" s="412"/>
      <c r="S36" s="414"/>
      <c r="T36" s="414"/>
    </row>
    <row r="37" spans="1:20">
      <c r="A37" s="388"/>
      <c r="B37" s="718" t="s">
        <v>374</v>
      </c>
      <c r="C37" s="718"/>
      <c r="D37" s="725">
        <f>D35/D36</f>
        <v>65.118419684358855</v>
      </c>
      <c r="E37" s="382" t="str">
        <f>IF(D37&gt;D56, "Undervalue- Buy", "Overvalued")</f>
        <v>Undervalue- Buy</v>
      </c>
      <c r="F37" s="408"/>
      <c r="G37" s="408"/>
      <c r="H37" s="408"/>
      <c r="J37" s="408"/>
      <c r="K37" s="424"/>
      <c r="L37" s="388"/>
      <c r="M37" s="388"/>
      <c r="N37" s="388"/>
      <c r="O37" s="388"/>
      <c r="P37" s="388"/>
      <c r="Q37" s="388"/>
      <c r="R37" s="388"/>
      <c r="S37" s="388"/>
      <c r="T37" s="388"/>
    </row>
    <row r="38" spans="1:20">
      <c r="A38" s="383"/>
      <c r="B38" s="383"/>
      <c r="C38" s="383"/>
      <c r="D38" s="393"/>
      <c r="F38" s="393"/>
      <c r="G38" s="393"/>
      <c r="H38" s="393"/>
      <c r="J38" s="393"/>
      <c r="K38" s="383"/>
      <c r="L38" s="383"/>
      <c r="M38" s="383"/>
      <c r="N38" s="383"/>
      <c r="O38" s="383"/>
      <c r="P38" s="383"/>
      <c r="Q38" s="383"/>
      <c r="R38" s="383"/>
      <c r="S38" s="383"/>
      <c r="T38" s="383"/>
    </row>
    <row r="39" spans="1:20">
      <c r="A39" s="388"/>
      <c r="B39" s="719" t="s">
        <v>357</v>
      </c>
      <c r="C39" s="719"/>
      <c r="D39" s="721" t="s">
        <v>375</v>
      </c>
      <c r="F39" s="388"/>
      <c r="G39" s="408"/>
      <c r="H39" s="408"/>
      <c r="J39" s="408"/>
      <c r="K39" s="388"/>
      <c r="L39" s="388"/>
      <c r="M39" s="388"/>
      <c r="N39" s="388"/>
      <c r="O39" s="388"/>
      <c r="P39" s="388"/>
      <c r="Q39" s="388"/>
      <c r="R39" s="388"/>
      <c r="S39" s="388"/>
      <c r="T39" s="388"/>
    </row>
    <row r="40" spans="1:20">
      <c r="A40" s="383"/>
      <c r="B40" s="717" t="s">
        <v>376</v>
      </c>
      <c r="C40" s="717"/>
      <c r="D40" s="722">
        <v>7.01</v>
      </c>
      <c r="E40" s="712" t="s">
        <v>604</v>
      </c>
      <c r="F40" s="383"/>
      <c r="H40" s="393"/>
      <c r="J40" s="406"/>
      <c r="K40" s="383"/>
      <c r="L40" s="809" t="s">
        <v>238</v>
      </c>
      <c r="M40" s="809"/>
      <c r="N40" s="809"/>
      <c r="O40" s="809"/>
      <c r="P40" s="809"/>
      <c r="Q40" s="809"/>
      <c r="R40" s="809"/>
      <c r="S40" s="809"/>
      <c r="T40" s="809"/>
    </row>
    <row r="41" spans="1:20">
      <c r="A41" s="383"/>
      <c r="B41" s="717" t="s">
        <v>377</v>
      </c>
      <c r="C41" s="717"/>
      <c r="D41" s="723">
        <f>H11+H14</f>
        <v>46291.563469420063</v>
      </c>
      <c r="E41"/>
      <c r="F41" s="383"/>
      <c r="G41" s="383"/>
      <c r="H41" s="383"/>
      <c r="J41" s="393"/>
      <c r="K41" s="409">
        <f>D53</f>
        <v>163.09713228881301</v>
      </c>
      <c r="L41" s="410">
        <f t="shared" ref="L41:T41" si="5">L26</f>
        <v>7.0699999999999999E-2</v>
      </c>
      <c r="M41" s="410">
        <f t="shared" si="5"/>
        <v>7.3200000000000001E-2</v>
      </c>
      <c r="N41" s="410">
        <f t="shared" si="5"/>
        <v>7.5700000000000003E-2</v>
      </c>
      <c r="O41" s="410">
        <f t="shared" si="5"/>
        <v>7.8200000000000006E-2</v>
      </c>
      <c r="P41" s="410">
        <f t="shared" si="5"/>
        <v>8.0700000000000008E-2</v>
      </c>
      <c r="Q41" s="410">
        <f t="shared" si="5"/>
        <v>8.320000000000001E-2</v>
      </c>
      <c r="R41" s="410">
        <f t="shared" si="5"/>
        <v>8.5700000000000012E-2</v>
      </c>
      <c r="S41" s="410">
        <f t="shared" si="5"/>
        <v>8.8200000000000014E-2</v>
      </c>
      <c r="T41" s="410">
        <f t="shared" si="5"/>
        <v>9.0700000000000017E-2</v>
      </c>
    </row>
    <row r="42" spans="1:20">
      <c r="A42" s="383"/>
      <c r="B42" s="717" t="s">
        <v>357</v>
      </c>
      <c r="C42" s="717"/>
      <c r="D42" s="723">
        <f>D40*D41</f>
        <v>324503.85992063466</v>
      </c>
      <c r="F42" s="383"/>
      <c r="G42" s="383"/>
      <c r="H42" s="383"/>
      <c r="J42" s="810" t="s">
        <v>378</v>
      </c>
      <c r="K42" s="425">
        <v>6.51</v>
      </c>
      <c r="L42" s="412">
        <f t="dataTable" ref="L42:T51" dt2D="1" dtr="1" r1="C6" r2="D40"/>
        <v>156.36377465369807</v>
      </c>
      <c r="M42" s="412">
        <v>154.06779391996719</v>
      </c>
      <c r="N42" s="412">
        <v>151.80173941626069</v>
      </c>
      <c r="O42" s="412">
        <v>149.56514865206617</v>
      </c>
      <c r="P42" s="412">
        <v>147.35756735701585</v>
      </c>
      <c r="Q42" s="412">
        <v>145.17854931601704</v>
      </c>
      <c r="R42" s="412">
        <v>143.02765620806107</v>
      </c>
      <c r="S42" s="414">
        <v>140.90445744862296</v>
      </c>
      <c r="T42" s="414">
        <v>138.80853003556047</v>
      </c>
    </row>
    <row r="43" spans="1:20">
      <c r="A43" s="383"/>
      <c r="B43" s="717" t="s">
        <v>606</v>
      </c>
      <c r="C43" s="717"/>
      <c r="D43" s="722">
        <f>(H9-C9)/365</f>
        <v>4.7643835616438359</v>
      </c>
      <c r="E43" s="393"/>
      <c r="F43" s="383"/>
      <c r="G43" s="383"/>
      <c r="H43" s="383"/>
      <c r="J43" s="810"/>
      <c r="K43" s="425">
        <f>K42+0.125</f>
        <v>6.6349999999999998</v>
      </c>
      <c r="L43" s="412">
        <v>160.06520114382744</v>
      </c>
      <c r="M43" s="412">
        <v>157.72831969252096</v>
      </c>
      <c r="N43" s="412">
        <v>155.42191001810028</v>
      </c>
      <c r="O43" s="412">
        <v>153.14550111075008</v>
      </c>
      <c r="P43" s="412">
        <v>150.89863033315314</v>
      </c>
      <c r="Q43" s="412">
        <v>148.68084325255259</v>
      </c>
      <c r="R43" s="412">
        <v>146.49169347656095</v>
      </c>
      <c r="S43" s="414">
        <v>144.330742492627</v>
      </c>
      <c r="T43" s="414">
        <v>142.19755951106782</v>
      </c>
    </row>
    <row r="44" spans="1:20">
      <c r="A44" s="383"/>
      <c r="B44" s="717" t="s">
        <v>359</v>
      </c>
      <c r="C44" s="717"/>
      <c r="D44" s="723">
        <f>PV(C6,D43,0,-D42,0)</f>
        <v>225857.06430825539</v>
      </c>
      <c r="F44" s="383"/>
      <c r="G44" s="383"/>
      <c r="H44" s="383"/>
      <c r="J44" s="810"/>
      <c r="K44" s="425">
        <f t="shared" ref="K44:K51" si="6">K43+0.125</f>
        <v>6.76</v>
      </c>
      <c r="L44" s="412">
        <v>163.76662763395677</v>
      </c>
      <c r="M44" s="412">
        <v>161.38884546507475</v>
      </c>
      <c r="N44" s="415">
        <v>159.04208061993992</v>
      </c>
      <c r="O44" s="629">
        <v>156.72585356943401</v>
      </c>
      <c r="P44" s="629">
        <v>154.43969330929045</v>
      </c>
      <c r="Q44" s="629">
        <v>152.18313718908817</v>
      </c>
      <c r="R44" s="417">
        <v>149.95573074506083</v>
      </c>
      <c r="S44" s="414">
        <v>147.75702753663109</v>
      </c>
      <c r="T44" s="414">
        <v>145.58658898657515</v>
      </c>
    </row>
    <row r="45" spans="1:20">
      <c r="A45" s="383"/>
      <c r="B45" s="718" t="s">
        <v>361</v>
      </c>
      <c r="C45" s="718"/>
      <c r="D45" s="724">
        <f>D44+D22</f>
        <v>273802.66235406988</v>
      </c>
      <c r="F45" s="383"/>
      <c r="G45" s="383"/>
      <c r="H45" s="383"/>
      <c r="J45" s="810"/>
      <c r="K45" s="425">
        <f t="shared" si="6"/>
        <v>6.8849999999999998</v>
      </c>
      <c r="L45" s="412">
        <v>167.46805412408619</v>
      </c>
      <c r="M45" s="412">
        <v>165.04937123762861</v>
      </c>
      <c r="N45" s="419">
        <v>162.66225122177954</v>
      </c>
      <c r="O45" s="418">
        <v>160.30620602811791</v>
      </c>
      <c r="P45" s="418">
        <v>157.98075628542782</v>
      </c>
      <c r="Q45" s="418">
        <v>155.68543112562378</v>
      </c>
      <c r="R45" s="420">
        <v>153.41976801356071</v>
      </c>
      <c r="S45" s="414">
        <v>151.18331258063517</v>
      </c>
      <c r="T45" s="414">
        <v>148.97561846208251</v>
      </c>
    </row>
    <row r="46" spans="1:20">
      <c r="A46" s="383"/>
      <c r="B46" s="717" t="s">
        <v>379</v>
      </c>
      <c r="C46" s="717"/>
      <c r="D46" s="723">
        <f>D30</f>
        <v>15447</v>
      </c>
      <c r="F46" s="383"/>
      <c r="G46" s="383"/>
      <c r="H46" s="383"/>
      <c r="J46" s="810"/>
      <c r="K46" s="425">
        <f t="shared" si="6"/>
        <v>7.01</v>
      </c>
      <c r="L46" s="412">
        <v>171.16948061421562</v>
      </c>
      <c r="M46" s="412">
        <v>168.70989701018237</v>
      </c>
      <c r="N46" s="419">
        <v>166.28242182361919</v>
      </c>
      <c r="O46" s="418">
        <v>163.88655848680185</v>
      </c>
      <c r="P46" s="418">
        <v>161.52181926156516</v>
      </c>
      <c r="Q46" s="418">
        <v>159.18772506215936</v>
      </c>
      <c r="R46" s="420">
        <v>156.88380528206059</v>
      </c>
      <c r="S46" s="414">
        <v>154.60959762463926</v>
      </c>
      <c r="T46" s="414">
        <v>152.36464793758984</v>
      </c>
    </row>
    <row r="47" spans="1:20">
      <c r="A47" s="383"/>
      <c r="B47" s="718" t="s">
        <v>363</v>
      </c>
      <c r="C47" s="718"/>
      <c r="D47" s="724">
        <f>D46+D45</f>
        <v>289249.66235406988</v>
      </c>
      <c r="F47" s="383"/>
      <c r="G47" s="383"/>
      <c r="H47" s="383"/>
      <c r="J47" s="810"/>
      <c r="K47" s="425">
        <f t="shared" si="6"/>
        <v>7.1349999999999998</v>
      </c>
      <c r="L47" s="412">
        <v>174.87090710434498</v>
      </c>
      <c r="M47" s="412">
        <v>172.37042278273617</v>
      </c>
      <c r="N47" s="419">
        <v>169.90259242545878</v>
      </c>
      <c r="O47" s="418">
        <v>167.46691094548575</v>
      </c>
      <c r="P47" s="418">
        <v>165.06288223770241</v>
      </c>
      <c r="Q47" s="418">
        <v>162.69001899869491</v>
      </c>
      <c r="R47" s="420">
        <v>160.34784255056042</v>
      </c>
      <c r="S47" s="414">
        <v>158.0358826686433</v>
      </c>
      <c r="T47" s="414">
        <v>155.75367741309719</v>
      </c>
    </row>
    <row r="48" spans="1:20">
      <c r="A48" s="383"/>
      <c r="B48" s="717" t="s">
        <v>365</v>
      </c>
      <c r="C48" s="717"/>
      <c r="D48" s="723">
        <f>D32</f>
        <v>129732</v>
      </c>
      <c r="F48" s="383"/>
      <c r="G48" s="383"/>
      <c r="H48" s="383"/>
      <c r="J48" s="810"/>
      <c r="K48" s="425">
        <f t="shared" si="6"/>
        <v>7.26</v>
      </c>
      <c r="L48" s="412">
        <v>178.57233359447434</v>
      </c>
      <c r="M48" s="412">
        <v>176.03094855528997</v>
      </c>
      <c r="N48" s="421">
        <v>173.52276302729842</v>
      </c>
      <c r="O48" s="422">
        <v>171.04726340416968</v>
      </c>
      <c r="P48" s="422">
        <v>168.60394521383975</v>
      </c>
      <c r="Q48" s="422">
        <v>166.19231293523049</v>
      </c>
      <c r="R48" s="423">
        <v>163.81187981906029</v>
      </c>
      <c r="S48" s="414">
        <v>161.46216771264739</v>
      </c>
      <c r="T48" s="414">
        <v>159.14270688860452</v>
      </c>
    </row>
    <row r="49" spans="1:20">
      <c r="A49" s="383"/>
      <c r="B49" s="717" t="s">
        <v>380</v>
      </c>
      <c r="C49" s="717"/>
      <c r="D49" s="723">
        <f>D33</f>
        <v>27137</v>
      </c>
      <c r="F49" s="383"/>
      <c r="G49" s="383"/>
      <c r="H49" s="383"/>
      <c r="J49" s="810"/>
      <c r="K49" s="425">
        <f t="shared" si="6"/>
        <v>7.3849999999999998</v>
      </c>
      <c r="L49" s="412">
        <v>182.27376008460374</v>
      </c>
      <c r="M49" s="412">
        <v>179.69147432784376</v>
      </c>
      <c r="N49" s="418">
        <v>177.14293362913801</v>
      </c>
      <c r="O49" s="418">
        <v>174.62761586285365</v>
      </c>
      <c r="P49" s="418">
        <v>172.14500818997712</v>
      </c>
      <c r="Q49" s="418">
        <v>169.69460687176604</v>
      </c>
      <c r="R49" s="418">
        <v>167.27591708756017</v>
      </c>
      <c r="S49" s="414">
        <v>164.88845275665147</v>
      </c>
      <c r="T49" s="414">
        <v>162.53173636411185</v>
      </c>
    </row>
    <row r="50" spans="1:20">
      <c r="A50" s="383"/>
      <c r="B50" s="717" t="s">
        <v>369</v>
      </c>
      <c r="C50" s="717"/>
      <c r="D50" s="723">
        <f>D34</f>
        <v>2518</v>
      </c>
      <c r="F50" s="383"/>
      <c r="G50" s="383"/>
      <c r="H50" s="383"/>
      <c r="J50" s="810"/>
      <c r="K50" s="425">
        <f t="shared" si="6"/>
        <v>7.51</v>
      </c>
      <c r="L50" s="412">
        <v>185.97518657473316</v>
      </c>
      <c r="M50" s="412">
        <v>183.35200010039753</v>
      </c>
      <c r="N50" s="412">
        <v>180.76310423097766</v>
      </c>
      <c r="O50" s="412">
        <v>178.20796832153761</v>
      </c>
      <c r="P50" s="412">
        <v>175.6860711661144</v>
      </c>
      <c r="Q50" s="412">
        <v>173.19690080830162</v>
      </c>
      <c r="R50" s="412">
        <v>170.73995435606005</v>
      </c>
      <c r="S50" s="414">
        <v>168.31473780065556</v>
      </c>
      <c r="T50" s="414">
        <v>165.92076583961926</v>
      </c>
    </row>
    <row r="51" spans="1:20">
      <c r="A51" s="383"/>
      <c r="B51" s="718" t="s">
        <v>371</v>
      </c>
      <c r="C51" s="718"/>
      <c r="D51" s="724">
        <f>D47-D48+D49-D50</f>
        <v>184136.66235406988</v>
      </c>
      <c r="F51" s="383"/>
      <c r="G51" s="383"/>
      <c r="H51" s="383"/>
      <c r="J51" s="810"/>
      <c r="K51" s="425">
        <f t="shared" si="6"/>
        <v>7.6349999999999998</v>
      </c>
      <c r="L51" s="412">
        <v>189.67661306486252</v>
      </c>
      <c r="M51" s="412">
        <v>187.01252587295133</v>
      </c>
      <c r="N51" s="412">
        <v>184.38327483281725</v>
      </c>
      <c r="O51" s="412">
        <v>181.78832078022148</v>
      </c>
      <c r="P51" s="412">
        <v>179.22713414225171</v>
      </c>
      <c r="Q51" s="412">
        <v>176.69919474483717</v>
      </c>
      <c r="R51" s="412">
        <v>174.20399162455988</v>
      </c>
      <c r="S51" s="414">
        <v>171.7410228446596</v>
      </c>
      <c r="T51" s="414">
        <v>169.30979531512659</v>
      </c>
    </row>
    <row r="52" spans="1:20">
      <c r="A52" s="383"/>
      <c r="B52" s="717" t="s">
        <v>373</v>
      </c>
      <c r="C52" s="717"/>
      <c r="D52" s="723">
        <f>D36</f>
        <v>1129</v>
      </c>
      <c r="F52" s="383"/>
      <c r="G52" s="383"/>
      <c r="H52" s="383"/>
    </row>
    <row r="53" spans="1:20">
      <c r="A53" s="383"/>
      <c r="B53" s="718" t="s">
        <v>374</v>
      </c>
      <c r="C53" s="718"/>
      <c r="D53" s="725">
        <f>D51/D52</f>
        <v>163.09713228881301</v>
      </c>
      <c r="E53" s="382" t="str">
        <f>IF(D53&gt;D72, "Undervalue- Buy", "Overvalued")</f>
        <v>Undervalue- Buy</v>
      </c>
      <c r="F53" s="383"/>
      <c r="G53" s="383"/>
      <c r="H53" s="383"/>
    </row>
    <row r="54" spans="1:20">
      <c r="A54" s="383"/>
      <c r="B54" s="383"/>
      <c r="C54" s="383"/>
      <c r="D54" s="383"/>
      <c r="E54" s="383"/>
      <c r="F54" s="383"/>
      <c r="G54" s="383"/>
      <c r="H54" s="383"/>
    </row>
    <row r="55" spans="1:20">
      <c r="A55" s="383"/>
      <c r="B55" s="383"/>
      <c r="C55" s="383"/>
      <c r="D55" s="383"/>
      <c r="E55" s="383"/>
      <c r="F55" s="383"/>
      <c r="G55" s="383"/>
      <c r="H55" s="383"/>
    </row>
    <row r="56" spans="1:20">
      <c r="A56" s="383"/>
      <c r="B56" s="383" t="s">
        <v>623</v>
      </c>
      <c r="C56" s="383"/>
      <c r="D56" s="436">
        <v>47.03</v>
      </c>
      <c r="E56" s="383"/>
      <c r="F56" s="383"/>
      <c r="G56" s="383"/>
      <c r="H56" s="383"/>
    </row>
    <row r="57" spans="1:20">
      <c r="A57" s="383"/>
      <c r="B57" s="383"/>
      <c r="C57" s="383"/>
      <c r="D57" s="383"/>
      <c r="F57" s="383"/>
      <c r="G57" s="383"/>
      <c r="H57" s="383"/>
    </row>
    <row r="58" spans="1:20">
      <c r="A58" s="383"/>
      <c r="B58" s="383"/>
      <c r="C58" s="383"/>
      <c r="D58" s="383"/>
      <c r="E58" s="383"/>
      <c r="F58" s="383"/>
      <c r="G58" s="383"/>
      <c r="H58" s="383"/>
    </row>
    <row r="59" spans="1:20">
      <c r="A59" s="383">
        <v>1</v>
      </c>
      <c r="B59" s="383" t="s">
        <v>381</v>
      </c>
      <c r="C59" s="383"/>
      <c r="D59" s="383"/>
      <c r="E59" s="383"/>
      <c r="F59" s="383"/>
      <c r="G59" s="383"/>
      <c r="H59" s="383"/>
    </row>
    <row r="60" spans="1:20">
      <c r="A60" s="383">
        <v>2</v>
      </c>
      <c r="B60" s="383" t="s">
        <v>382</v>
      </c>
      <c r="C60" s="383"/>
      <c r="D60" s="383"/>
      <c r="E60" s="383"/>
      <c r="F60" s="383"/>
      <c r="G60" s="383"/>
      <c r="H60" s="383"/>
    </row>
    <row r="61" spans="1:20">
      <c r="A61" s="383"/>
      <c r="B61" s="383"/>
      <c r="C61" s="383"/>
      <c r="D61" s="383"/>
      <c r="E61" s="383"/>
      <c r="F61" s="383"/>
      <c r="G61" s="383"/>
      <c r="H61" s="383"/>
    </row>
    <row r="62" spans="1:20">
      <c r="A62" s="383"/>
      <c r="B62" s="383"/>
      <c r="C62" s="383"/>
      <c r="D62" s="383"/>
      <c r="E62" s="383"/>
      <c r="F62" s="383"/>
      <c r="G62" s="383"/>
      <c r="H62" s="383"/>
    </row>
  </sheetData>
  <mergeCells count="5">
    <mergeCell ref="L24:T24"/>
    <mergeCell ref="L25:T25"/>
    <mergeCell ref="J27:J35"/>
    <mergeCell ref="L40:T40"/>
    <mergeCell ref="J42:J51"/>
  </mergeCells>
  <dataValidations disablePrompts="1" count="3">
    <dataValidation type="list" allowBlank="1" showInputMessage="1" showErrorMessage="1" sqref="C5" xr:uid="{00000000-0002-0000-0900-000000000000}">
      <formula1>$A$59:$A$60</formula1>
    </dataValidation>
    <dataValidation type="list" allowBlank="1" showInputMessage="1" showErrorMessage="1" sqref="B59:C60" xr:uid="{00000000-0002-0000-0900-000001000000}">
      <formula1>$B$59:$B$60</formula1>
    </dataValidation>
    <dataValidation allowBlank="1" showInputMessage="1" showErrorMessage="1" sqref="J24" xr:uid="{00000000-0002-0000-0900-000002000000}"/>
  </dataValidations>
  <hyperlinks>
    <hyperlink ref="E40" r:id="rId1" xr:uid="{00000000-0004-0000-0900-00000000000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000"/>
  <sheetViews>
    <sheetView topLeftCell="A50" workbookViewId="0">
      <selection activeCell="H28" sqref="H28"/>
    </sheetView>
  </sheetViews>
  <sheetFormatPr defaultColWidth="14.42578125" defaultRowHeight="15" customHeight="1"/>
  <cols>
    <col min="1" max="4" width="11.140625" style="456" customWidth="1"/>
    <col min="5" max="6" width="15.28515625" style="456" customWidth="1"/>
    <col min="7" max="7" width="14.28515625" style="456" customWidth="1"/>
    <col min="8" max="8" width="21.5703125" style="456" customWidth="1"/>
    <col min="9" max="9" width="13" style="456" customWidth="1"/>
    <col min="10" max="10" width="9.5703125" style="456" customWidth="1"/>
    <col min="11" max="11" width="12" style="456" customWidth="1"/>
    <col min="12" max="12" width="10.42578125" style="456" customWidth="1"/>
    <col min="13" max="13" width="11.5703125" style="456" customWidth="1"/>
    <col min="14" max="23" width="11.42578125" style="456" customWidth="1"/>
    <col min="24" max="16384" width="14.42578125" style="456"/>
  </cols>
  <sheetData>
    <row r="1" spans="1:23" ht="23.25">
      <c r="A1" s="454" t="s">
        <v>211</v>
      </c>
      <c r="B1" s="455"/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</row>
    <row r="2" spans="1:23">
      <c r="A2" s="457" t="str">
        <f>"(In "&amp;F10&amp;" Millions Except Per Share Data)"</f>
        <v>(In USD Millions Except Per Share Data)</v>
      </c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</row>
    <row r="3" spans="1:23" ht="15.75" thickBot="1">
      <c r="A3" s="458"/>
      <c r="B3" s="458"/>
      <c r="C3" s="458"/>
      <c r="D3" s="458"/>
      <c r="E3" s="458"/>
      <c r="F3" s="458"/>
      <c r="G3" s="458"/>
      <c r="H3" s="458"/>
      <c r="I3" s="458"/>
      <c r="J3" s="458"/>
      <c r="K3" s="458"/>
      <c r="L3" s="458"/>
      <c r="M3" s="458"/>
      <c r="N3" s="458"/>
      <c r="O3" s="458"/>
      <c r="P3" s="458"/>
      <c r="Q3" s="458"/>
      <c r="R3" s="458"/>
      <c r="S3" s="458"/>
      <c r="T3" s="458"/>
      <c r="U3" s="458"/>
      <c r="V3" s="458"/>
      <c r="W3" s="458"/>
    </row>
    <row r="4" spans="1:23">
      <c r="A4" s="459" t="s">
        <v>430</v>
      </c>
      <c r="B4" s="460"/>
      <c r="C4" s="460"/>
      <c r="D4" s="460"/>
      <c r="E4" s="460"/>
      <c r="F4" s="461"/>
      <c r="G4" s="458"/>
      <c r="H4" s="458"/>
      <c r="I4" s="458"/>
      <c r="J4" s="458"/>
      <c r="K4" s="458"/>
      <c r="L4" s="458"/>
      <c r="M4" s="458"/>
      <c r="N4" s="458"/>
      <c r="O4" s="458"/>
      <c r="P4" s="458"/>
      <c r="Q4" s="458"/>
      <c r="R4" s="458"/>
      <c r="S4" s="458"/>
      <c r="T4" s="458"/>
      <c r="U4" s="458"/>
      <c r="V4" s="458"/>
      <c r="W4" s="458"/>
    </row>
    <row r="5" spans="1:23">
      <c r="A5" s="462" t="s">
        <v>431</v>
      </c>
      <c r="B5" s="458"/>
      <c r="C5" s="458"/>
      <c r="D5" s="458"/>
      <c r="E5" s="458"/>
      <c r="F5" s="463" t="s">
        <v>432</v>
      </c>
      <c r="G5" s="458"/>
      <c r="H5" s="458"/>
      <c r="I5" s="458"/>
      <c r="J5" s="458"/>
      <c r="K5" s="458"/>
      <c r="L5" s="458"/>
      <c r="M5" s="458"/>
      <c r="N5" s="458"/>
      <c r="O5" s="458"/>
      <c r="P5" s="458"/>
      <c r="Q5" s="458"/>
      <c r="R5" s="458"/>
      <c r="S5" s="458"/>
      <c r="T5" s="458"/>
      <c r="U5" s="458"/>
      <c r="V5" s="458"/>
      <c r="W5" s="458"/>
    </row>
    <row r="6" spans="1:23">
      <c r="A6" s="462" t="s">
        <v>433</v>
      </c>
      <c r="B6" s="458"/>
      <c r="C6" s="458"/>
      <c r="D6" s="458"/>
      <c r="E6" s="458"/>
      <c r="F6" s="464">
        <v>45739</v>
      </c>
      <c r="G6" s="458"/>
      <c r="H6" s="458"/>
      <c r="I6" s="458"/>
      <c r="J6" s="458"/>
      <c r="K6" s="458"/>
      <c r="L6" s="458"/>
      <c r="M6" s="458"/>
      <c r="N6" s="458"/>
      <c r="O6" s="458"/>
      <c r="P6" s="458"/>
      <c r="Q6" s="458"/>
      <c r="R6" s="458"/>
      <c r="S6" s="458"/>
      <c r="T6" s="458"/>
      <c r="U6" s="458"/>
      <c r="V6" s="458"/>
      <c r="W6" s="458"/>
    </row>
    <row r="7" spans="1:23">
      <c r="A7" s="462" t="s">
        <v>434</v>
      </c>
      <c r="B7" s="458"/>
      <c r="C7" s="458"/>
      <c r="D7" s="458"/>
      <c r="E7" s="458"/>
      <c r="F7" s="464">
        <v>45739</v>
      </c>
      <c r="G7" s="458"/>
      <c r="H7" s="458"/>
      <c r="I7" s="458"/>
      <c r="J7" s="458"/>
      <c r="K7" s="458"/>
      <c r="L7" s="458"/>
      <c r="M7" s="458"/>
      <c r="N7" s="458"/>
      <c r="O7" s="458"/>
      <c r="P7" s="458"/>
      <c r="Q7" s="458"/>
      <c r="R7" s="458"/>
      <c r="S7" s="458"/>
      <c r="T7" s="458"/>
      <c r="U7" s="458"/>
      <c r="V7" s="458"/>
      <c r="W7" s="458"/>
    </row>
    <row r="8" spans="1:23">
      <c r="A8" s="462" t="s">
        <v>435</v>
      </c>
      <c r="B8" s="458"/>
      <c r="C8" s="458"/>
      <c r="D8" s="458"/>
      <c r="E8" s="458"/>
      <c r="F8" s="465">
        <v>45657</v>
      </c>
      <c r="G8" s="458"/>
      <c r="H8" s="458"/>
      <c r="I8" s="458"/>
      <c r="J8" s="458"/>
      <c r="K8" s="458"/>
      <c r="L8" s="458"/>
      <c r="M8" s="458"/>
      <c r="N8" s="458"/>
      <c r="O8" s="458"/>
      <c r="P8" s="458"/>
      <c r="Q8" s="458"/>
      <c r="R8" s="458"/>
      <c r="S8" s="458"/>
      <c r="T8" s="458"/>
      <c r="U8" s="458"/>
      <c r="V8" s="458"/>
      <c r="W8" s="458"/>
    </row>
    <row r="9" spans="1:23">
      <c r="A9" s="462" t="s">
        <v>436</v>
      </c>
      <c r="B9" s="458"/>
      <c r="C9" s="458"/>
      <c r="D9" s="458"/>
      <c r="E9" s="458"/>
      <c r="F9" s="465">
        <f>F8</f>
        <v>45657</v>
      </c>
      <c r="G9" s="458"/>
      <c r="H9" s="458"/>
      <c r="I9" s="458"/>
      <c r="J9" s="458"/>
      <c r="K9" s="458"/>
      <c r="L9" s="458"/>
      <c r="M9" s="458"/>
      <c r="N9" s="458"/>
      <c r="O9" s="458"/>
      <c r="P9" s="458"/>
      <c r="Q9" s="458"/>
      <c r="R9" s="458"/>
      <c r="S9" s="458"/>
      <c r="T9" s="458"/>
      <c r="U9" s="458"/>
      <c r="V9" s="458"/>
      <c r="W9" s="458"/>
    </row>
    <row r="10" spans="1:23">
      <c r="A10" s="462" t="s">
        <v>437</v>
      </c>
      <c r="B10" s="458"/>
      <c r="C10" s="458"/>
      <c r="D10" s="458"/>
      <c r="E10" s="458"/>
      <c r="F10" s="463" t="s">
        <v>438</v>
      </c>
      <c r="G10" s="458"/>
      <c r="H10" s="458"/>
      <c r="I10" s="458"/>
      <c r="J10" s="458"/>
      <c r="K10" s="458"/>
      <c r="L10" s="458"/>
      <c r="M10" s="458"/>
      <c r="N10" s="458"/>
      <c r="O10" s="458"/>
      <c r="P10" s="458"/>
      <c r="Q10" s="458"/>
      <c r="R10" s="458"/>
      <c r="S10" s="458"/>
      <c r="T10" s="458"/>
      <c r="U10" s="458"/>
      <c r="V10" s="458"/>
      <c r="W10" s="458"/>
    </row>
    <row r="11" spans="1:23" ht="15.75" thickBot="1">
      <c r="A11" s="466" t="s">
        <v>252</v>
      </c>
      <c r="B11" s="467"/>
      <c r="C11" s="467"/>
      <c r="D11" s="467"/>
      <c r="E11" s="467"/>
      <c r="F11" s="468">
        <v>0.21</v>
      </c>
      <c r="G11" s="458"/>
      <c r="H11" s="458"/>
      <c r="I11" s="458"/>
      <c r="J11" s="458"/>
      <c r="K11" s="458"/>
      <c r="L11" s="458"/>
      <c r="M11" s="458"/>
      <c r="N11" s="458"/>
      <c r="O11" s="458"/>
      <c r="P11" s="458"/>
      <c r="Q11" s="458"/>
      <c r="R11" s="458"/>
      <c r="S11" s="458"/>
      <c r="T11" s="458"/>
      <c r="U11" s="458"/>
      <c r="V11" s="458"/>
      <c r="W11" s="458"/>
    </row>
    <row r="12" spans="1:23">
      <c r="A12" s="458"/>
      <c r="B12" s="458"/>
      <c r="C12" s="458"/>
      <c r="D12" s="458"/>
      <c r="E12" s="458"/>
      <c r="F12" s="458"/>
      <c r="G12" s="458"/>
      <c r="H12" s="458"/>
      <c r="I12" s="458"/>
      <c r="J12" s="458"/>
      <c r="K12" s="458"/>
      <c r="L12" s="458"/>
      <c r="M12" s="458"/>
      <c r="N12" s="458"/>
      <c r="O12" s="458"/>
      <c r="P12" s="458"/>
      <c r="Q12" s="458"/>
      <c r="R12" s="458"/>
      <c r="S12" s="458"/>
      <c r="T12" s="458"/>
      <c r="U12" s="458"/>
      <c r="V12" s="458"/>
      <c r="W12" s="458"/>
    </row>
    <row r="13" spans="1:23" ht="15.75" thickBot="1">
      <c r="A13" s="458"/>
      <c r="B13" s="458"/>
      <c r="C13" s="458"/>
      <c r="D13" s="458"/>
      <c r="E13" s="458"/>
      <c r="F13" s="458"/>
      <c r="G13" s="813"/>
      <c r="H13" s="812"/>
      <c r="I13" s="812"/>
      <c r="J13" s="458"/>
      <c r="K13" s="458"/>
      <c r="L13" s="458"/>
      <c r="M13" s="458"/>
      <c r="N13" s="458"/>
      <c r="O13" s="458"/>
      <c r="P13" s="458"/>
      <c r="Q13" s="458"/>
      <c r="R13" s="458"/>
      <c r="S13" s="458"/>
      <c r="T13" s="458"/>
      <c r="U13" s="458"/>
      <c r="V13" s="458"/>
      <c r="W13" s="458"/>
    </row>
    <row r="14" spans="1:23" ht="15.75" thickBot="1">
      <c r="A14" s="471" t="s">
        <v>439</v>
      </c>
      <c r="B14" s="472"/>
      <c r="C14" s="473" t="s">
        <v>440</v>
      </c>
      <c r="D14" s="473" t="s">
        <v>441</v>
      </c>
      <c r="E14" s="473" t="s">
        <v>442</v>
      </c>
      <c r="F14" s="474"/>
      <c r="G14" s="458"/>
      <c r="H14" s="488"/>
      <c r="I14" s="488"/>
      <c r="J14" s="458"/>
      <c r="K14" s="458"/>
      <c r="L14" s="458"/>
      <c r="M14" s="458"/>
      <c r="N14" s="458"/>
      <c r="O14" s="458"/>
      <c r="P14" s="458"/>
      <c r="Q14" s="458"/>
      <c r="R14" s="458"/>
      <c r="S14" s="458"/>
      <c r="T14" s="458"/>
      <c r="U14" s="458"/>
      <c r="V14" s="458"/>
      <c r="W14" s="458"/>
    </row>
    <row r="15" spans="1:23">
      <c r="A15" s="462" t="s">
        <v>443</v>
      </c>
      <c r="B15" s="458"/>
      <c r="C15" s="550">
        <v>49.8</v>
      </c>
      <c r="D15" s="477"/>
      <c r="E15" s="477"/>
      <c r="F15" s="475"/>
      <c r="G15" s="476"/>
      <c r="H15" s="458"/>
      <c r="I15" s="458"/>
      <c r="J15" s="458"/>
      <c r="K15" s="458"/>
      <c r="L15" s="458"/>
      <c r="M15" s="458"/>
      <c r="N15" s="458"/>
      <c r="O15" s="458"/>
      <c r="P15" s="458"/>
      <c r="Q15" s="458"/>
      <c r="R15" s="458"/>
      <c r="S15" s="458"/>
      <c r="T15" s="458"/>
      <c r="U15" s="458"/>
      <c r="V15" s="458"/>
      <c r="W15" s="458"/>
    </row>
    <row r="16" spans="1:23">
      <c r="A16" s="462" t="s">
        <v>444</v>
      </c>
      <c r="B16" s="458"/>
      <c r="C16" s="550">
        <v>1115</v>
      </c>
      <c r="D16" s="477"/>
      <c r="E16" s="477"/>
      <c r="F16" s="478"/>
      <c r="G16" s="458"/>
      <c r="H16" s="458"/>
      <c r="I16" s="458"/>
      <c r="J16" s="458"/>
      <c r="K16" s="458"/>
      <c r="L16" s="458"/>
      <c r="M16" s="458"/>
      <c r="N16" s="458"/>
      <c r="O16" s="458"/>
      <c r="P16" s="458"/>
      <c r="Q16" s="458"/>
      <c r="R16" s="458"/>
      <c r="S16" s="458"/>
      <c r="T16" s="458"/>
      <c r="U16" s="458"/>
      <c r="V16" s="458"/>
      <c r="W16" s="458"/>
    </row>
    <row r="17" spans="1:23" ht="15.75" thickBot="1">
      <c r="A17" s="462" t="s">
        <v>445</v>
      </c>
      <c r="B17" s="458"/>
      <c r="C17" s="551">
        <v>1129</v>
      </c>
      <c r="D17" s="479"/>
      <c r="E17" s="479"/>
      <c r="F17" s="478"/>
      <c r="G17" s="458"/>
      <c r="H17" s="481"/>
      <c r="I17" s="458"/>
      <c r="J17" s="458"/>
      <c r="K17" s="458"/>
      <c r="L17" s="458"/>
      <c r="M17" s="458"/>
      <c r="N17" s="458"/>
      <c r="O17" s="458"/>
      <c r="P17" s="458"/>
      <c r="Q17" s="458"/>
      <c r="R17" s="458"/>
      <c r="S17" s="458"/>
      <c r="T17" s="458"/>
      <c r="U17" s="458"/>
      <c r="V17" s="458"/>
      <c r="W17" s="458"/>
    </row>
    <row r="18" spans="1:23" ht="15.75" thickBot="1">
      <c r="A18" s="462" t="s">
        <v>202</v>
      </c>
      <c r="B18" s="458"/>
      <c r="C18" s="479">
        <f>C17*C15</f>
        <v>56224.2</v>
      </c>
      <c r="D18" s="479"/>
      <c r="E18" s="479"/>
      <c r="F18" s="480">
        <f>C18+D18+E18</f>
        <v>56224.2</v>
      </c>
      <c r="G18" s="458"/>
      <c r="H18" s="458"/>
      <c r="I18" s="481"/>
      <c r="J18" s="458"/>
      <c r="K18" s="458"/>
      <c r="L18" s="458"/>
      <c r="M18" s="458"/>
      <c r="N18" s="458"/>
      <c r="O18" s="458"/>
      <c r="P18" s="458"/>
      <c r="Q18" s="458"/>
      <c r="R18" s="458"/>
      <c r="S18" s="458"/>
      <c r="T18" s="458"/>
      <c r="U18" s="458"/>
      <c r="V18" s="458"/>
      <c r="W18" s="458"/>
    </row>
    <row r="19" spans="1:23">
      <c r="A19" s="462" t="s">
        <v>446</v>
      </c>
      <c r="B19" s="458"/>
      <c r="C19" s="552"/>
      <c r="D19" s="481"/>
      <c r="E19" s="481"/>
      <c r="F19" s="482">
        <v>2518</v>
      </c>
      <c r="G19" s="458"/>
      <c r="H19" s="481"/>
      <c r="I19" s="481"/>
      <c r="J19" s="458"/>
      <c r="K19" s="458"/>
      <c r="L19" s="458"/>
      <c r="M19" s="458"/>
      <c r="N19" s="458"/>
      <c r="O19" s="458"/>
      <c r="P19" s="458"/>
      <c r="Q19" s="458"/>
      <c r="R19" s="458"/>
      <c r="S19" s="458"/>
      <c r="T19" s="458"/>
      <c r="U19" s="458"/>
      <c r="V19" s="458"/>
      <c r="W19" s="458"/>
    </row>
    <row r="20" spans="1:23">
      <c r="A20" s="483" t="s">
        <v>447</v>
      </c>
      <c r="B20" s="458"/>
      <c r="C20" s="552"/>
      <c r="D20" s="481"/>
      <c r="E20" s="481"/>
      <c r="F20" s="484">
        <f>E21+E22</f>
        <v>0</v>
      </c>
      <c r="G20" s="458"/>
      <c r="H20" s="481"/>
      <c r="I20" s="481"/>
      <c r="J20" s="481"/>
      <c r="K20" s="458"/>
      <c r="L20" s="458"/>
      <c r="M20" s="458"/>
      <c r="N20" s="458"/>
      <c r="O20" s="458"/>
      <c r="P20" s="458"/>
      <c r="Q20" s="458"/>
      <c r="R20" s="458"/>
      <c r="S20" s="458"/>
      <c r="T20" s="458"/>
      <c r="U20" s="458"/>
      <c r="V20" s="458"/>
      <c r="W20" s="458"/>
    </row>
    <row r="21" spans="1:23" ht="15.75" customHeight="1">
      <c r="A21" s="462"/>
      <c r="B21" s="458" t="s">
        <v>448</v>
      </c>
      <c r="C21" s="458"/>
      <c r="D21" s="458"/>
      <c r="E21" s="485">
        <v>0</v>
      </c>
      <c r="F21" s="478"/>
      <c r="G21" s="458"/>
      <c r="H21" s="458"/>
      <c r="I21" s="481"/>
      <c r="J21" s="481"/>
      <c r="K21" s="458"/>
      <c r="L21" s="458"/>
      <c r="M21" s="458"/>
      <c r="N21" s="458"/>
      <c r="O21" s="458"/>
      <c r="P21" s="458"/>
      <c r="Q21" s="458"/>
      <c r="R21" s="458"/>
      <c r="S21" s="458"/>
      <c r="T21" s="458"/>
      <c r="U21" s="458"/>
      <c r="V21" s="458"/>
      <c r="W21" s="458"/>
    </row>
    <row r="22" spans="1:23" ht="15.75" customHeight="1">
      <c r="A22" s="462"/>
      <c r="B22" s="486" t="s">
        <v>449</v>
      </c>
      <c r="C22" s="458"/>
      <c r="D22" s="458"/>
      <c r="E22" s="487">
        <v>0</v>
      </c>
      <c r="F22" s="478"/>
      <c r="G22" s="458"/>
      <c r="H22" s="458"/>
      <c r="I22" s="699">
        <v>45741</v>
      </c>
      <c r="J22" s="700">
        <v>0</v>
      </c>
      <c r="K22" s="458"/>
      <c r="L22" s="458"/>
      <c r="M22" s="458"/>
      <c r="N22" s="458"/>
      <c r="O22" s="458"/>
      <c r="P22" s="458"/>
      <c r="Q22" s="458"/>
      <c r="R22" s="458"/>
      <c r="S22" s="458"/>
      <c r="T22" s="458"/>
      <c r="U22" s="458"/>
      <c r="V22" s="458"/>
      <c r="W22" s="458"/>
    </row>
    <row r="23" spans="1:23" ht="15.75" customHeight="1">
      <c r="A23" s="483" t="s">
        <v>450</v>
      </c>
      <c r="B23" s="458"/>
      <c r="C23" s="458"/>
      <c r="D23" s="458"/>
      <c r="E23" s="481"/>
      <c r="F23" s="484">
        <f>E24+E25</f>
        <v>130632</v>
      </c>
      <c r="G23" s="458"/>
      <c r="H23" s="481">
        <v>115164</v>
      </c>
      <c r="I23" s="699">
        <v>46022</v>
      </c>
      <c r="J23" s="700">
        <v>290</v>
      </c>
      <c r="K23" s="458"/>
      <c r="L23" s="458"/>
      <c r="M23" s="458"/>
      <c r="N23" s="458"/>
      <c r="O23" s="458"/>
      <c r="P23" s="458"/>
      <c r="Q23" s="458"/>
      <c r="R23" s="458"/>
      <c r="S23" s="458"/>
      <c r="T23" s="458"/>
      <c r="U23" s="458"/>
      <c r="V23" s="458"/>
      <c r="W23" s="458"/>
    </row>
    <row r="24" spans="1:23" ht="15" customHeight="1">
      <c r="A24" s="462"/>
      <c r="B24" s="486" t="s">
        <v>451</v>
      </c>
      <c r="C24" s="486"/>
      <c r="D24" s="458"/>
      <c r="E24" s="485">
        <v>129732</v>
      </c>
      <c r="F24" s="478"/>
      <c r="G24" s="632"/>
      <c r="H24" s="458">
        <f>13327+76973+2141+37291</f>
        <v>129732</v>
      </c>
      <c r="I24" s="699">
        <v>46387</v>
      </c>
      <c r="J24" s="700">
        <v>255</v>
      </c>
      <c r="K24" s="458"/>
      <c r="L24" s="458"/>
      <c r="M24" s="458"/>
      <c r="N24" s="458"/>
      <c r="O24" s="458"/>
      <c r="P24" s="458"/>
      <c r="Q24" s="458"/>
      <c r="R24" s="458"/>
      <c r="S24" s="458"/>
      <c r="T24" s="458"/>
      <c r="U24" s="458"/>
      <c r="V24" s="458"/>
      <c r="W24" s="458"/>
    </row>
    <row r="25" spans="1:23" ht="15" customHeight="1">
      <c r="A25" s="462"/>
      <c r="B25" s="486" t="s">
        <v>452</v>
      </c>
      <c r="C25" s="486"/>
      <c r="D25" s="458"/>
      <c r="E25" s="487">
        <v>900</v>
      </c>
      <c r="F25" s="478"/>
      <c r="G25" s="458"/>
      <c r="H25" s="458">
        <v>0</v>
      </c>
      <c r="I25" s="699">
        <v>46752</v>
      </c>
      <c r="J25" s="700">
        <v>209</v>
      </c>
      <c r="K25" s="458"/>
      <c r="L25" s="458"/>
      <c r="M25" s="458"/>
      <c r="N25" s="458"/>
      <c r="O25" s="458"/>
      <c r="P25" s="458"/>
      <c r="Q25" s="458"/>
      <c r="R25" s="458"/>
      <c r="S25" s="458"/>
      <c r="T25" s="458"/>
      <c r="U25" s="458"/>
      <c r="V25" s="458"/>
      <c r="W25" s="458"/>
    </row>
    <row r="26" spans="1:23" ht="15.75" customHeight="1">
      <c r="A26" s="483" t="s">
        <v>453</v>
      </c>
      <c r="B26" s="488"/>
      <c r="C26" s="458"/>
      <c r="D26" s="458"/>
      <c r="E26" s="481"/>
      <c r="F26" s="478"/>
      <c r="G26" s="458"/>
      <c r="H26" s="458"/>
      <c r="I26" s="699">
        <v>47118</v>
      </c>
      <c r="J26" s="700">
        <v>183</v>
      </c>
      <c r="L26" s="458" t="s">
        <v>516</v>
      </c>
      <c r="M26" s="458"/>
      <c r="N26" s="458"/>
      <c r="O26" s="458"/>
      <c r="P26" s="458"/>
      <c r="Q26" s="458"/>
      <c r="R26" s="458"/>
      <c r="S26" s="458"/>
      <c r="T26" s="458"/>
      <c r="U26" s="458"/>
      <c r="V26" s="458"/>
      <c r="W26" s="458"/>
    </row>
    <row r="27" spans="1:23" ht="15" customHeight="1">
      <c r="A27" s="462"/>
      <c r="B27" s="458" t="s">
        <v>454</v>
      </c>
      <c r="C27" s="458"/>
      <c r="D27" s="458"/>
      <c r="E27" s="481"/>
      <c r="F27" s="482">
        <f>-5779+1518</f>
        <v>-4261</v>
      </c>
      <c r="G27" s="632"/>
      <c r="H27" s="458"/>
      <c r="I27" s="699">
        <v>47483</v>
      </c>
      <c r="J27" s="700">
        <v>156</v>
      </c>
      <c r="K27" s="458"/>
      <c r="L27" s="458"/>
      <c r="M27" s="458"/>
      <c r="N27" s="458"/>
      <c r="O27" s="458"/>
      <c r="P27" s="458"/>
      <c r="Q27" s="458"/>
      <c r="R27" s="458"/>
      <c r="S27" s="458"/>
      <c r="T27" s="458"/>
      <c r="U27" s="458"/>
      <c r="V27" s="458"/>
      <c r="W27" s="458"/>
    </row>
    <row r="28" spans="1:23" ht="15.75" customHeight="1">
      <c r="A28" s="462"/>
      <c r="B28" s="458" t="s">
        <v>505</v>
      </c>
      <c r="C28" s="458"/>
      <c r="D28" s="458"/>
      <c r="E28" s="458"/>
      <c r="F28" s="482">
        <f>J31</f>
        <v>0</v>
      </c>
      <c r="G28" s="458"/>
      <c r="H28" s="481"/>
      <c r="I28" s="699">
        <v>47848</v>
      </c>
      <c r="J28" s="700">
        <v>296</v>
      </c>
      <c r="K28" s="458"/>
      <c r="L28" s="458"/>
      <c r="M28" s="458"/>
      <c r="N28" s="458"/>
      <c r="O28" s="458"/>
      <c r="P28" s="458"/>
      <c r="Q28" s="458"/>
      <c r="R28" s="458"/>
      <c r="S28" s="458"/>
      <c r="T28" s="458"/>
      <c r="U28" s="458"/>
      <c r="V28" s="458"/>
      <c r="W28" s="458"/>
    </row>
    <row r="29" spans="1:23" ht="15.75" customHeight="1" thickBot="1">
      <c r="A29" s="483" t="s">
        <v>455</v>
      </c>
      <c r="B29" s="458"/>
      <c r="C29" s="458"/>
      <c r="D29" s="458"/>
      <c r="E29" s="481"/>
      <c r="F29" s="482">
        <f>19872+7265</f>
        <v>27137</v>
      </c>
      <c r="G29" s="458"/>
      <c r="H29" s="481"/>
      <c r="I29" s="701" t="s">
        <v>506</v>
      </c>
      <c r="J29" s="700">
        <v>5.8</v>
      </c>
      <c r="K29" s="458"/>
      <c r="L29" s="458"/>
      <c r="M29" s="458"/>
      <c r="N29" s="458"/>
      <c r="O29" s="458"/>
      <c r="P29" s="458"/>
      <c r="Q29" s="458"/>
      <c r="R29" s="458"/>
      <c r="S29" s="458"/>
      <c r="T29" s="458"/>
      <c r="U29" s="458"/>
      <c r="V29" s="458"/>
      <c r="W29" s="458"/>
    </row>
    <row r="30" spans="1:23" ht="15.75" customHeight="1" thickBot="1">
      <c r="A30" s="489" t="s">
        <v>456</v>
      </c>
      <c r="B30" s="490"/>
      <c r="C30" s="490"/>
      <c r="D30" s="491"/>
      <c r="E30" s="491"/>
      <c r="F30" s="480">
        <f>F18+F19+F20+F23+F27+F28-F29</f>
        <v>157976.20000000001</v>
      </c>
      <c r="G30" s="458"/>
      <c r="H30" s="458"/>
      <c r="I30" s="701" t="s">
        <v>457</v>
      </c>
      <c r="J30" s="702">
        <f>XNPV(J29,J22:J28,I22:I28)</f>
        <v>76.054360599898587</v>
      </c>
      <c r="K30" s="458"/>
      <c r="L30" s="458"/>
      <c r="M30" s="458"/>
      <c r="N30" s="458"/>
      <c r="O30" s="458"/>
      <c r="P30" s="458"/>
      <c r="Q30" s="458"/>
      <c r="R30" s="458"/>
      <c r="S30" s="458"/>
      <c r="T30" s="458"/>
      <c r="U30" s="458"/>
      <c r="V30" s="458"/>
      <c r="W30" s="458"/>
    </row>
    <row r="31" spans="1:23" ht="15.75" customHeight="1" thickBot="1">
      <c r="A31" s="493" t="s">
        <v>458</v>
      </c>
      <c r="B31" s="494"/>
      <c r="C31" s="494"/>
      <c r="D31" s="495"/>
      <c r="E31" s="495"/>
      <c r="F31" s="482">
        <v>7102</v>
      </c>
      <c r="G31" s="458"/>
      <c r="H31" s="481"/>
      <c r="I31" s="481"/>
      <c r="J31" s="481"/>
      <c r="K31" s="458"/>
      <c r="L31" s="458"/>
      <c r="M31" s="458"/>
      <c r="N31" s="458"/>
      <c r="O31" s="458"/>
      <c r="P31" s="458"/>
      <c r="Q31" s="458"/>
      <c r="R31" s="458"/>
      <c r="S31" s="458"/>
      <c r="T31" s="458"/>
      <c r="U31" s="458"/>
      <c r="V31" s="458"/>
      <c r="W31" s="458"/>
    </row>
    <row r="32" spans="1:23" ht="14.25" customHeight="1" thickBot="1">
      <c r="A32" s="489" t="s">
        <v>306</v>
      </c>
      <c r="B32" s="489"/>
      <c r="C32" s="490"/>
      <c r="D32" s="490"/>
      <c r="E32" s="491"/>
      <c r="F32" s="480">
        <f>F30-F31</f>
        <v>150874.20000000001</v>
      </c>
      <c r="G32" s="458"/>
      <c r="H32" s="458"/>
      <c r="I32" s="481"/>
      <c r="J32" s="481"/>
      <c r="K32" s="458"/>
      <c r="L32" s="458"/>
      <c r="M32" s="458"/>
      <c r="N32" s="458"/>
      <c r="O32" s="458"/>
      <c r="P32" s="458"/>
      <c r="Q32" s="458"/>
      <c r="R32" s="458"/>
      <c r="S32" s="458"/>
      <c r="T32" s="458"/>
      <c r="U32" s="458"/>
      <c r="V32" s="458"/>
      <c r="W32" s="458"/>
    </row>
    <row r="33" spans="1:24" ht="15" customHeight="1" thickBot="1">
      <c r="A33" s="466" t="s">
        <v>459</v>
      </c>
      <c r="B33" s="467"/>
      <c r="C33" s="467"/>
      <c r="D33" s="467"/>
      <c r="E33" s="467"/>
      <c r="F33" s="496">
        <f>C15</f>
        <v>49.8</v>
      </c>
      <c r="G33" s="458"/>
      <c r="H33" s="458"/>
      <c r="I33" s="458"/>
      <c r="J33" s="497"/>
      <c r="K33" s="458"/>
      <c r="L33" s="458"/>
      <c r="M33" s="458"/>
      <c r="N33" s="458"/>
      <c r="O33" s="458"/>
      <c r="P33" s="458"/>
      <c r="Q33" s="458"/>
      <c r="R33" s="458"/>
      <c r="S33" s="458"/>
      <c r="T33" s="458"/>
      <c r="U33" s="458"/>
      <c r="V33" s="458"/>
      <c r="W33" s="458"/>
    </row>
    <row r="34" spans="1:24" ht="15.75" customHeight="1" thickBot="1">
      <c r="A34" s="458"/>
      <c r="B34" s="458"/>
      <c r="C34" s="458"/>
      <c r="D34" s="458"/>
      <c r="E34" s="458"/>
      <c r="F34" s="458"/>
      <c r="G34" s="458"/>
      <c r="H34" s="498"/>
      <c r="I34" s="498"/>
      <c r="J34" s="498"/>
      <c r="K34" s="458"/>
      <c r="L34" s="458"/>
      <c r="M34" s="458"/>
      <c r="N34" s="458"/>
      <c r="O34" s="458"/>
      <c r="P34" s="458"/>
      <c r="Q34" s="458"/>
      <c r="R34" s="458"/>
      <c r="S34" s="458"/>
      <c r="T34" s="458"/>
      <c r="U34" s="458"/>
      <c r="V34" s="458"/>
      <c r="W34" s="458"/>
    </row>
    <row r="35" spans="1:24" ht="15.75" customHeight="1" thickBot="1">
      <c r="A35" s="471" t="s">
        <v>460</v>
      </c>
      <c r="B35" s="472"/>
      <c r="C35" s="499"/>
      <c r="D35" s="499"/>
      <c r="E35" s="499"/>
      <c r="F35" s="499"/>
      <c r="G35" s="499"/>
      <c r="H35" s="499"/>
      <c r="I35" s="458"/>
      <c r="J35" s="458"/>
      <c r="K35" s="458"/>
      <c r="L35" s="458"/>
      <c r="M35" s="458"/>
      <c r="N35" s="458"/>
      <c r="O35" s="458"/>
      <c r="P35" s="458"/>
      <c r="Q35" s="458"/>
      <c r="R35" s="458"/>
      <c r="S35" s="458"/>
      <c r="T35" s="458"/>
      <c r="U35" s="458"/>
      <c r="V35" s="458"/>
      <c r="W35" s="458"/>
    </row>
    <row r="36" spans="1:24" ht="15.75" customHeight="1" thickBot="1">
      <c r="A36" s="458"/>
      <c r="B36" s="458"/>
      <c r="C36" s="458"/>
      <c r="D36" s="458"/>
      <c r="E36" s="458"/>
      <c r="F36" s="458"/>
      <c r="G36" s="458"/>
      <c r="H36" s="498"/>
      <c r="I36" s="498"/>
      <c r="J36" s="498"/>
      <c r="K36" s="498"/>
      <c r="L36" s="458"/>
      <c r="M36" s="458"/>
      <c r="N36" s="458"/>
      <c r="O36" s="458"/>
      <c r="P36" s="458"/>
      <c r="Q36" s="458"/>
      <c r="R36" s="458"/>
      <c r="S36" s="458"/>
      <c r="T36" s="458"/>
      <c r="U36" s="458"/>
      <c r="V36" s="458"/>
      <c r="W36" s="458"/>
    </row>
    <row r="37" spans="1:24" ht="15.75" customHeight="1" thickBot="1">
      <c r="A37" s="458"/>
      <c r="B37" s="500" t="s">
        <v>461</v>
      </c>
      <c r="C37" s="501"/>
      <c r="D37" s="502"/>
      <c r="E37" s="502"/>
      <c r="F37" s="502"/>
      <c r="G37" s="502"/>
      <c r="H37" s="502"/>
      <c r="I37" s="503"/>
      <c r="J37" s="498"/>
      <c r="K37" s="504"/>
      <c r="L37" s="458"/>
      <c r="M37" s="458"/>
      <c r="N37" s="458"/>
      <c r="O37" s="458"/>
      <c r="P37" s="458"/>
      <c r="Q37" s="458"/>
      <c r="R37" s="458"/>
      <c r="S37" s="458"/>
      <c r="T37" s="458"/>
      <c r="U37" s="458"/>
      <c r="V37" s="458"/>
      <c r="W37" s="458"/>
      <c r="X37" s="458"/>
    </row>
    <row r="38" spans="1:24" ht="15.75" customHeight="1">
      <c r="A38" s="458"/>
      <c r="B38" s="506"/>
      <c r="C38" s="814" t="s">
        <v>462</v>
      </c>
      <c r="D38" s="814" t="s">
        <v>463</v>
      </c>
      <c r="E38" s="507"/>
      <c r="F38" s="508" t="s">
        <v>464</v>
      </c>
      <c r="G38" s="509"/>
      <c r="H38" s="509"/>
      <c r="I38" s="510" t="s">
        <v>465</v>
      </c>
      <c r="J38" s="498"/>
      <c r="K38" s="505"/>
      <c r="L38" s="505"/>
      <c r="M38" s="488"/>
      <c r="N38" s="488"/>
      <c r="O38" s="458"/>
      <c r="P38" s="458"/>
      <c r="Q38" s="458"/>
      <c r="R38" s="458"/>
      <c r="S38" s="458"/>
      <c r="T38" s="458"/>
      <c r="U38" s="458"/>
      <c r="V38" s="458"/>
      <c r="W38" s="458"/>
      <c r="X38" s="458"/>
    </row>
    <row r="39" spans="1:24" ht="15.75" customHeight="1">
      <c r="A39" s="458"/>
      <c r="B39" s="511" t="s">
        <v>466</v>
      </c>
      <c r="C39" s="815"/>
      <c r="D39" s="815"/>
      <c r="E39" s="554" t="s">
        <v>467</v>
      </c>
      <c r="F39" s="555" t="s">
        <v>468</v>
      </c>
      <c r="G39" s="488" t="s">
        <v>469</v>
      </c>
      <c r="H39" s="488" t="s">
        <v>470</v>
      </c>
      <c r="I39" s="512" t="s">
        <v>471</v>
      </c>
      <c r="J39" s="498"/>
      <c r="K39" s="513"/>
      <c r="L39" s="505"/>
      <c r="M39" s="505"/>
      <c r="N39" s="458"/>
      <c r="O39" s="458"/>
      <c r="P39" s="458"/>
      <c r="Q39" s="458"/>
      <c r="R39" s="458"/>
      <c r="S39" s="458"/>
      <c r="T39" s="458"/>
      <c r="U39" s="458"/>
      <c r="V39" s="458"/>
      <c r="W39" s="458"/>
      <c r="X39" s="458"/>
    </row>
    <row r="40" spans="1:24" ht="15.75" customHeight="1">
      <c r="A40" s="458"/>
      <c r="B40" s="515" t="s">
        <v>507</v>
      </c>
      <c r="C40" s="556">
        <v>0</v>
      </c>
      <c r="D40" s="557">
        <v>0</v>
      </c>
      <c r="E40" s="558" t="str">
        <f>IF(D40&gt;F33,"NO","YES")</f>
        <v>YES</v>
      </c>
      <c r="F40" s="559">
        <f>IF(E40="YES",C40,0)</f>
        <v>0</v>
      </c>
      <c r="G40" s="560">
        <f>F40*D40</f>
        <v>0</v>
      </c>
      <c r="H40" s="559">
        <f>G40/F33</f>
        <v>0</v>
      </c>
      <c r="I40" s="516">
        <f>F40-H40</f>
        <v>0</v>
      </c>
      <c r="J40" s="498"/>
      <c r="K40" s="514"/>
      <c r="L40" s="514"/>
      <c r="M40" s="481"/>
      <c r="N40" s="514"/>
      <c r="O40" s="458"/>
      <c r="P40" s="458"/>
      <c r="Q40" s="458"/>
      <c r="R40" s="458"/>
      <c r="S40" s="458"/>
      <c r="T40" s="458"/>
      <c r="U40" s="458"/>
      <c r="V40" s="458"/>
      <c r="W40" s="458"/>
      <c r="X40" s="458"/>
    </row>
    <row r="41" spans="1:24" ht="15.75" customHeight="1">
      <c r="A41" s="458"/>
      <c r="B41" s="515" t="s">
        <v>508</v>
      </c>
      <c r="C41" s="556">
        <v>0</v>
      </c>
      <c r="D41" s="557">
        <v>0</v>
      </c>
      <c r="E41" s="558" t="str">
        <f>IF(D41&gt;F34,"NO","YES")</f>
        <v>YES</v>
      </c>
      <c r="F41" s="559">
        <v>0</v>
      </c>
      <c r="G41" s="560">
        <v>0</v>
      </c>
      <c r="H41" s="559">
        <v>0</v>
      </c>
      <c r="I41" s="516">
        <v>0</v>
      </c>
      <c r="J41" s="498"/>
      <c r="K41" s="514"/>
      <c r="L41" s="514"/>
      <c r="M41" s="481"/>
      <c r="N41" s="514"/>
      <c r="O41" s="458"/>
      <c r="P41" s="458"/>
      <c r="Q41" s="458"/>
      <c r="R41" s="458"/>
      <c r="S41" s="458"/>
      <c r="T41" s="458"/>
      <c r="U41" s="458"/>
      <c r="V41" s="458"/>
      <c r="W41" s="458"/>
      <c r="X41" s="458"/>
    </row>
    <row r="42" spans="1:24" ht="15.75" customHeight="1">
      <c r="A42" s="458"/>
      <c r="B42" s="515"/>
      <c r="C42" s="556"/>
      <c r="D42" s="557"/>
      <c r="E42" s="558"/>
      <c r="F42" s="559"/>
      <c r="G42" s="560"/>
      <c r="H42" s="559"/>
      <c r="I42" s="516"/>
      <c r="J42" s="498"/>
      <c r="K42" s="514"/>
      <c r="L42" s="514"/>
      <c r="M42" s="481"/>
      <c r="N42" s="514"/>
      <c r="O42" s="458"/>
      <c r="P42" s="458"/>
      <c r="Q42" s="458"/>
      <c r="R42" s="458"/>
      <c r="S42" s="458"/>
      <c r="T42" s="458"/>
      <c r="U42" s="458"/>
      <c r="V42" s="458"/>
      <c r="W42" s="458"/>
      <c r="X42" s="458"/>
    </row>
    <row r="43" spans="1:24" ht="15.75" customHeight="1">
      <c r="A43" s="458"/>
      <c r="B43" s="515"/>
      <c r="C43" s="556"/>
      <c r="D43" s="557"/>
      <c r="E43" s="558"/>
      <c r="F43" s="559"/>
      <c r="G43" s="560"/>
      <c r="H43" s="559"/>
      <c r="I43" s="516"/>
      <c r="J43" s="498"/>
      <c r="K43" s="514"/>
      <c r="L43" s="514"/>
      <c r="M43" s="481"/>
      <c r="N43" s="514"/>
      <c r="O43" s="458"/>
      <c r="P43" s="458"/>
      <c r="Q43" s="458"/>
      <c r="R43" s="458"/>
      <c r="S43" s="458"/>
      <c r="T43" s="458"/>
      <c r="U43" s="458"/>
      <c r="V43" s="458"/>
      <c r="W43" s="458"/>
      <c r="X43" s="458"/>
    </row>
    <row r="44" spans="1:24" ht="15.75" customHeight="1">
      <c r="A44" s="458"/>
      <c r="B44" s="515"/>
      <c r="C44" s="556"/>
      <c r="D44" s="557"/>
      <c r="E44" s="558"/>
      <c r="F44" s="559"/>
      <c r="G44" s="560"/>
      <c r="H44" s="559"/>
      <c r="I44" s="516"/>
      <c r="J44" s="498"/>
      <c r="K44" s="514"/>
      <c r="L44" s="514"/>
      <c r="M44" s="481"/>
      <c r="N44" s="514"/>
      <c r="O44" s="458"/>
      <c r="P44" s="458"/>
      <c r="Q44" s="458"/>
      <c r="R44" s="458"/>
      <c r="S44" s="458"/>
      <c r="T44" s="458"/>
      <c r="U44" s="458"/>
      <c r="V44" s="458"/>
      <c r="W44" s="458"/>
      <c r="X44" s="458"/>
    </row>
    <row r="45" spans="1:24" ht="15.75" customHeight="1" thickBot="1">
      <c r="A45" s="458"/>
      <c r="B45" s="517"/>
      <c r="C45" s="518"/>
      <c r="D45" s="518"/>
      <c r="E45" s="518"/>
      <c r="F45" s="518"/>
      <c r="G45" s="518"/>
      <c r="H45" s="519" t="s">
        <v>474</v>
      </c>
      <c r="I45" s="520">
        <f>SUM(I40:I41)</f>
        <v>0</v>
      </c>
      <c r="J45" s="498"/>
      <c r="K45" s="458"/>
      <c r="L45" s="458"/>
      <c r="M45" s="458"/>
      <c r="N45" s="458"/>
      <c r="O45" s="458"/>
      <c r="P45" s="458"/>
      <c r="Q45" s="458"/>
      <c r="R45" s="458"/>
      <c r="S45" s="458"/>
      <c r="T45" s="458"/>
      <c r="U45" s="458"/>
      <c r="V45" s="458"/>
      <c r="W45" s="458"/>
      <c r="X45" s="458"/>
    </row>
    <row r="46" spans="1:24" ht="15.75" customHeight="1" thickBot="1">
      <c r="A46" s="458"/>
      <c r="B46" s="458"/>
      <c r="C46" s="458"/>
      <c r="D46" s="458"/>
      <c r="E46" s="458"/>
      <c r="F46" s="458"/>
      <c r="G46" s="458"/>
      <c r="H46" s="498"/>
      <c r="I46" s="498"/>
      <c r="J46" s="498"/>
      <c r="K46" s="498"/>
      <c r="L46" s="458"/>
      <c r="M46" s="458"/>
      <c r="N46" s="458"/>
      <c r="O46" s="458"/>
      <c r="P46" s="458"/>
      <c r="Q46" s="458"/>
      <c r="R46" s="458"/>
      <c r="S46" s="458"/>
      <c r="T46" s="458"/>
      <c r="U46" s="458"/>
      <c r="V46" s="458"/>
      <c r="W46" s="458"/>
    </row>
    <row r="47" spans="1:24" ht="15.75" customHeight="1" thickBot="1">
      <c r="A47" s="458"/>
      <c r="B47" s="521" t="s">
        <v>475</v>
      </c>
      <c r="C47" s="522"/>
      <c r="D47" s="522"/>
      <c r="E47" s="522"/>
      <c r="F47" s="522"/>
      <c r="G47" s="523"/>
      <c r="H47" s="498"/>
      <c r="I47" s="498"/>
      <c r="J47" s="458"/>
      <c r="K47" s="458"/>
      <c r="L47" s="458"/>
      <c r="M47" s="458"/>
      <c r="N47" s="458"/>
      <c r="O47" s="458"/>
      <c r="P47" s="458"/>
      <c r="Q47" s="458"/>
      <c r="R47" s="458"/>
      <c r="S47" s="458"/>
      <c r="T47" s="458"/>
      <c r="U47" s="458"/>
      <c r="V47" s="458"/>
      <c r="W47" s="458"/>
    </row>
    <row r="48" spans="1:24" ht="15.75" customHeight="1">
      <c r="A48" s="458"/>
      <c r="B48" s="524"/>
      <c r="C48" s="525"/>
      <c r="D48" s="525"/>
      <c r="E48" s="816" t="s">
        <v>476</v>
      </c>
      <c r="F48" s="526"/>
      <c r="G48" s="817" t="s">
        <v>477</v>
      </c>
      <c r="H48" s="498"/>
      <c r="I48" s="498"/>
      <c r="J48" s="486"/>
      <c r="K48" s="486"/>
      <c r="L48" s="458"/>
      <c r="M48" s="811"/>
      <c r="N48" s="458"/>
      <c r="O48" s="458"/>
      <c r="P48" s="458"/>
      <c r="Q48" s="458"/>
      <c r="R48" s="458"/>
      <c r="S48" s="458"/>
      <c r="T48" s="458"/>
      <c r="U48" s="458"/>
      <c r="V48" s="458"/>
      <c r="W48" s="458"/>
    </row>
    <row r="49" spans="1:23" ht="15.75" customHeight="1">
      <c r="A49" s="458"/>
      <c r="B49" s="528" t="s">
        <v>478</v>
      </c>
      <c r="C49" s="529" t="s">
        <v>479</v>
      </c>
      <c r="D49" s="529" t="s">
        <v>480</v>
      </c>
      <c r="E49" s="812"/>
      <c r="F49" s="527" t="s">
        <v>481</v>
      </c>
      <c r="G49" s="818"/>
      <c r="H49" s="498"/>
      <c r="I49" s="498"/>
      <c r="J49" s="486"/>
      <c r="K49" s="529"/>
      <c r="L49" s="527"/>
      <c r="M49" s="812"/>
      <c r="N49" s="458"/>
      <c r="O49" s="458"/>
      <c r="P49" s="458"/>
      <c r="Q49" s="458"/>
      <c r="R49" s="458"/>
      <c r="S49" s="458"/>
      <c r="T49" s="458"/>
      <c r="U49" s="458"/>
      <c r="V49" s="458"/>
      <c r="W49" s="458"/>
    </row>
    <row r="50" spans="1:23" ht="15.75" customHeight="1">
      <c r="A50" s="458"/>
      <c r="B50" s="531"/>
      <c r="C50" s="545"/>
      <c r="D50" s="545"/>
      <c r="E50" s="561"/>
      <c r="F50" s="562"/>
      <c r="G50" s="532"/>
      <c r="H50" s="498"/>
      <c r="I50" s="498"/>
      <c r="J50" s="458"/>
      <c r="K50" s="481"/>
      <c r="L50" s="530"/>
      <c r="M50" s="530"/>
      <c r="N50" s="458"/>
      <c r="O50" s="458"/>
      <c r="P50" s="458"/>
      <c r="Q50" s="458"/>
      <c r="R50" s="458"/>
      <c r="S50" s="458"/>
      <c r="T50" s="458"/>
      <c r="U50" s="458"/>
      <c r="V50" s="458"/>
      <c r="W50" s="458"/>
    </row>
    <row r="51" spans="1:23" ht="15.75" customHeight="1">
      <c r="A51" s="458"/>
      <c r="B51" s="531"/>
      <c r="C51" s="545"/>
      <c r="D51" s="545"/>
      <c r="E51" s="561"/>
      <c r="F51" s="562"/>
      <c r="G51" s="532"/>
      <c r="H51" s="498"/>
      <c r="I51" s="498"/>
      <c r="J51" s="458"/>
      <c r="K51" s="481"/>
      <c r="L51" s="530"/>
      <c r="M51" s="530"/>
      <c r="N51" s="458"/>
      <c r="O51" s="458"/>
      <c r="P51" s="458"/>
      <c r="Q51" s="458"/>
      <c r="R51" s="458"/>
      <c r="S51" s="458"/>
      <c r="T51" s="458"/>
      <c r="U51" s="458"/>
      <c r="V51" s="458"/>
      <c r="W51" s="458"/>
    </row>
    <row r="52" spans="1:23" ht="15.75" customHeight="1">
      <c r="A52" s="458"/>
      <c r="B52" s="531"/>
      <c r="C52" s="545"/>
      <c r="D52" s="545"/>
      <c r="E52" s="561"/>
      <c r="F52" s="562"/>
      <c r="G52" s="532"/>
      <c r="H52" s="498"/>
      <c r="I52" s="498"/>
      <c r="J52" s="458"/>
      <c r="K52" s="481"/>
      <c r="L52" s="530"/>
      <c r="M52" s="530"/>
      <c r="N52" s="458"/>
      <c r="O52" s="458"/>
      <c r="P52" s="458"/>
      <c r="Q52" s="458"/>
      <c r="R52" s="458"/>
      <c r="S52" s="458"/>
      <c r="T52" s="458"/>
      <c r="U52" s="458"/>
      <c r="V52" s="458"/>
      <c r="W52" s="458"/>
    </row>
    <row r="53" spans="1:23" ht="15.75" customHeight="1" thickBot="1">
      <c r="A53" s="458"/>
      <c r="B53" s="533"/>
      <c r="C53" s="534"/>
      <c r="D53" s="534"/>
      <c r="E53" s="534"/>
      <c r="F53" s="519" t="s">
        <v>474</v>
      </c>
      <c r="G53" s="535"/>
      <c r="H53" s="498"/>
      <c r="I53" s="498"/>
      <c r="J53" s="458"/>
      <c r="K53" s="481"/>
      <c r="L53" s="530"/>
      <c r="M53" s="530"/>
      <c r="N53" s="458"/>
      <c r="O53" s="458"/>
      <c r="P53" s="458"/>
      <c r="Q53" s="458"/>
      <c r="R53" s="458"/>
      <c r="S53" s="458"/>
      <c r="T53" s="458"/>
      <c r="U53" s="458"/>
      <c r="V53" s="458"/>
      <c r="W53" s="458"/>
    </row>
    <row r="54" spans="1:23" ht="15.75" customHeight="1">
      <c r="A54" s="458"/>
      <c r="B54" s="458"/>
      <c r="C54" s="458"/>
      <c r="D54" s="458"/>
      <c r="E54" s="458"/>
      <c r="F54" s="458"/>
      <c r="G54" s="458"/>
      <c r="H54" s="498"/>
      <c r="I54" s="498"/>
      <c r="J54" s="458"/>
      <c r="K54" s="458"/>
      <c r="L54" s="458"/>
      <c r="M54" s="458"/>
      <c r="N54" s="458"/>
      <c r="O54" s="458"/>
      <c r="P54" s="458"/>
      <c r="Q54" s="458"/>
      <c r="R54" s="458"/>
      <c r="S54" s="458"/>
      <c r="T54" s="458"/>
      <c r="U54" s="458"/>
      <c r="V54" s="458"/>
      <c r="W54" s="458"/>
    </row>
    <row r="55" spans="1:23" ht="15.75" customHeight="1">
      <c r="A55" s="458"/>
      <c r="B55" s="458"/>
      <c r="C55" s="458"/>
      <c r="D55" s="458"/>
      <c r="E55" s="458"/>
      <c r="F55" s="458"/>
      <c r="G55" s="458"/>
      <c r="H55" s="498"/>
      <c r="I55" s="498"/>
      <c r="J55" s="498"/>
      <c r="K55" s="498"/>
      <c r="L55" s="458"/>
      <c r="M55" s="458"/>
      <c r="N55" s="458"/>
      <c r="O55" s="458"/>
      <c r="P55" s="458"/>
      <c r="Q55" s="458"/>
      <c r="R55" s="458"/>
      <c r="S55" s="458"/>
      <c r="T55" s="458"/>
      <c r="U55" s="458"/>
      <c r="V55" s="458"/>
      <c r="W55" s="458"/>
    </row>
    <row r="56" spans="1:23" ht="15.75" customHeight="1">
      <c r="A56" s="458"/>
      <c r="B56" s="458"/>
      <c r="C56" s="458"/>
      <c r="D56" s="458"/>
      <c r="E56" s="458"/>
      <c r="F56" s="458"/>
      <c r="G56" s="458"/>
      <c r="H56" s="498"/>
      <c r="I56" s="498"/>
      <c r="J56" s="498"/>
      <c r="K56" s="498"/>
      <c r="L56" s="458"/>
      <c r="M56" s="458"/>
      <c r="N56" s="458"/>
      <c r="O56" s="458"/>
      <c r="P56" s="458"/>
      <c r="Q56" s="458"/>
      <c r="R56" s="458"/>
      <c r="S56" s="458"/>
      <c r="T56" s="458"/>
      <c r="U56" s="458"/>
      <c r="V56" s="458"/>
      <c r="W56" s="458"/>
    </row>
    <row r="57" spans="1:23" ht="15.75" customHeight="1">
      <c r="A57" s="537" t="s">
        <v>484</v>
      </c>
      <c r="B57" s="537"/>
      <c r="C57" s="537"/>
      <c r="D57" s="537"/>
      <c r="E57" s="537"/>
      <c r="F57" s="537"/>
      <c r="G57" s="537"/>
      <c r="H57" s="538" t="s">
        <v>485</v>
      </c>
      <c r="I57" s="538" t="s">
        <v>486</v>
      </c>
      <c r="J57" s="538" t="s">
        <v>487</v>
      </c>
      <c r="K57" s="538" t="s">
        <v>488</v>
      </c>
      <c r="L57" s="538" t="s">
        <v>482</v>
      </c>
      <c r="M57" s="538" t="s">
        <v>483</v>
      </c>
      <c r="N57" s="538" t="s">
        <v>489</v>
      </c>
      <c r="O57" s="458"/>
      <c r="P57" s="458"/>
      <c r="Q57" s="458"/>
      <c r="R57" s="458"/>
      <c r="S57" s="458"/>
      <c r="T57" s="458"/>
      <c r="U57" s="458"/>
      <c r="V57" s="458"/>
      <c r="W57" s="458"/>
    </row>
    <row r="58" spans="1:23" ht="15.75" customHeight="1" thickBot="1">
      <c r="A58" s="458"/>
      <c r="B58" s="458"/>
      <c r="C58" s="458"/>
      <c r="D58" s="458"/>
      <c r="E58" s="458"/>
      <c r="F58" s="458"/>
      <c r="G58" s="458" t="s">
        <v>490</v>
      </c>
      <c r="H58" s="563"/>
      <c r="I58" s="458"/>
      <c r="J58" s="458"/>
      <c r="K58" s="458"/>
      <c r="L58" s="470"/>
      <c r="M58" s="470"/>
      <c r="N58" s="458"/>
      <c r="O58" s="458"/>
      <c r="P58" s="458"/>
      <c r="Q58" s="458"/>
      <c r="R58" s="458"/>
      <c r="S58" s="458"/>
      <c r="T58" s="458"/>
      <c r="U58" s="458"/>
      <c r="V58" s="458"/>
      <c r="W58" s="458"/>
    </row>
    <row r="59" spans="1:23" ht="15.75" customHeight="1" thickBot="1">
      <c r="A59" s="458" t="s">
        <v>491</v>
      </c>
      <c r="B59" s="458"/>
      <c r="C59" s="458"/>
      <c r="D59" s="458"/>
      <c r="E59" s="458"/>
      <c r="F59" s="458"/>
      <c r="G59" s="458"/>
      <c r="H59" s="545">
        <v>187442</v>
      </c>
      <c r="I59" s="545">
        <v>0</v>
      </c>
      <c r="J59" s="564">
        <v>0</v>
      </c>
      <c r="K59" s="480">
        <f>H59+I59-J59</f>
        <v>187442</v>
      </c>
      <c r="L59" s="539">
        <v>182108</v>
      </c>
      <c r="M59" s="539">
        <v>182376</v>
      </c>
      <c r="N59" s="540">
        <f>(M59/K59)^(1/2)-1</f>
        <v>-1.3606076167856251E-2</v>
      </c>
      <c r="O59" s="458"/>
      <c r="P59" s="458"/>
      <c r="Q59" s="458"/>
      <c r="R59" s="458"/>
      <c r="S59" s="458"/>
      <c r="T59" s="458"/>
      <c r="U59" s="458"/>
      <c r="V59" s="458"/>
      <c r="W59" s="458"/>
    </row>
    <row r="60" spans="1:23" ht="4.5" customHeight="1" thickBot="1">
      <c r="A60" s="458"/>
      <c r="B60" s="458"/>
      <c r="C60" s="458"/>
      <c r="D60" s="458"/>
      <c r="E60" s="458"/>
      <c r="F60" s="458"/>
      <c r="G60" s="458"/>
      <c r="H60" s="481"/>
      <c r="I60" s="481"/>
      <c r="J60" s="481"/>
      <c r="K60" s="481"/>
      <c r="L60" s="458"/>
      <c r="M60" s="458"/>
      <c r="N60" s="458"/>
      <c r="O60" s="458"/>
      <c r="P60" s="458"/>
      <c r="Q60" s="458"/>
      <c r="R60" s="458"/>
      <c r="S60" s="458"/>
      <c r="T60" s="458"/>
      <c r="U60" s="458"/>
      <c r="V60" s="458"/>
      <c r="W60" s="458"/>
    </row>
    <row r="61" spans="1:23" ht="15.75" customHeight="1" thickBot="1">
      <c r="A61" s="458" t="s">
        <v>492</v>
      </c>
      <c r="B61" s="458"/>
      <c r="C61" s="458"/>
      <c r="D61" s="458"/>
      <c r="E61" s="458"/>
      <c r="F61" s="458"/>
      <c r="G61" s="458"/>
      <c r="H61" s="545">
        <v>12784</v>
      </c>
      <c r="I61" s="545">
        <v>0</v>
      </c>
      <c r="J61" s="545">
        <v>0</v>
      </c>
      <c r="K61" s="480">
        <f>H61+I61-J61</f>
        <v>12784</v>
      </c>
      <c r="L61" s="458"/>
      <c r="M61" s="458"/>
      <c r="N61" s="458"/>
      <c r="O61" s="458"/>
      <c r="P61" s="458"/>
      <c r="Q61" s="458"/>
      <c r="R61" s="458"/>
      <c r="S61" s="458"/>
      <c r="T61" s="458"/>
      <c r="U61" s="458"/>
      <c r="V61" s="458"/>
      <c r="W61" s="458"/>
    </row>
    <row r="62" spans="1:23" ht="15.75" customHeight="1" thickBot="1">
      <c r="A62" s="458" t="s">
        <v>493</v>
      </c>
      <c r="B62" s="494"/>
      <c r="C62" s="494"/>
      <c r="D62" s="494"/>
      <c r="E62" s="494"/>
      <c r="F62" s="494"/>
      <c r="G62" s="494"/>
      <c r="H62" s="545">
        <f>H63-H61</f>
        <v>2150</v>
      </c>
      <c r="I62" s="545">
        <v>0</v>
      </c>
      <c r="J62" s="545">
        <v>0</v>
      </c>
      <c r="K62" s="494"/>
      <c r="L62" s="494"/>
      <c r="M62" s="494"/>
      <c r="N62" s="494"/>
      <c r="O62" s="494"/>
      <c r="P62" s="494"/>
      <c r="Q62" s="494"/>
      <c r="R62" s="494"/>
      <c r="S62" s="494"/>
      <c r="T62" s="494"/>
      <c r="U62" s="494"/>
      <c r="V62" s="494"/>
      <c r="W62" s="494"/>
    </row>
    <row r="63" spans="1:23" ht="15.75" customHeight="1" thickBot="1">
      <c r="A63" s="541" t="s">
        <v>494</v>
      </c>
      <c r="B63" s="494"/>
      <c r="C63" s="494"/>
      <c r="D63" s="494"/>
      <c r="E63" s="494"/>
      <c r="F63" s="494"/>
      <c r="G63" s="494"/>
      <c r="H63" s="544">
        <f>'GM-IS'!G35</f>
        <v>14934</v>
      </c>
      <c r="I63" s="544">
        <v>0</v>
      </c>
      <c r="J63" s="565">
        <v>0</v>
      </c>
      <c r="K63" s="480">
        <f>H63+I63-J63</f>
        <v>14934</v>
      </c>
      <c r="L63" s="539">
        <v>14041</v>
      </c>
      <c r="M63" s="539">
        <v>13938</v>
      </c>
      <c r="N63" s="540">
        <f>(M63/K63)^(1/2)-1</f>
        <v>-3.3922079325489851E-2</v>
      </c>
      <c r="O63" s="494"/>
      <c r="P63" s="494"/>
      <c r="Q63" s="494"/>
      <c r="R63" s="494"/>
      <c r="S63" s="494"/>
      <c r="T63" s="494"/>
      <c r="U63" s="494"/>
      <c r="V63" s="494"/>
      <c r="W63" s="494"/>
    </row>
    <row r="64" spans="1:23" ht="15.75" customHeight="1" thickBot="1">
      <c r="A64" s="458" t="s">
        <v>495</v>
      </c>
      <c r="B64" s="458"/>
      <c r="C64" s="458"/>
      <c r="D64" s="458"/>
      <c r="E64" s="458"/>
      <c r="F64" s="458"/>
      <c r="G64" s="458"/>
      <c r="H64" s="545">
        <v>11456</v>
      </c>
      <c r="I64" s="545">
        <v>0</v>
      </c>
      <c r="J64" s="545">
        <v>0</v>
      </c>
      <c r="K64" s="458"/>
      <c r="L64" s="458"/>
      <c r="M64" s="458"/>
      <c r="N64" s="458"/>
      <c r="O64" s="458"/>
      <c r="P64" s="458"/>
      <c r="Q64" s="458"/>
      <c r="R64" s="458"/>
      <c r="S64" s="458"/>
      <c r="T64" s="458"/>
      <c r="U64" s="458"/>
      <c r="V64" s="458"/>
      <c r="W64" s="458"/>
    </row>
    <row r="65" spans="1:23" ht="15.75" customHeight="1" thickBot="1">
      <c r="A65" s="494" t="s">
        <v>496</v>
      </c>
      <c r="B65" s="494"/>
      <c r="C65" s="494"/>
      <c r="D65" s="494"/>
      <c r="E65" s="494"/>
      <c r="F65" s="494"/>
      <c r="G65" s="494"/>
      <c r="H65" s="544">
        <f>H63+H64</f>
        <v>26390</v>
      </c>
      <c r="I65" s="544">
        <v>0</v>
      </c>
      <c r="J65" s="565">
        <v>0</v>
      </c>
      <c r="K65" s="480">
        <f>H65+I65-J65</f>
        <v>26390</v>
      </c>
      <c r="L65" s="539">
        <v>23701</v>
      </c>
      <c r="M65" s="539">
        <v>24383</v>
      </c>
      <c r="N65" s="540">
        <f>(M65/K65)^(1/2)-1</f>
        <v>-3.877761921198708E-2</v>
      </c>
      <c r="O65" s="494"/>
      <c r="P65" s="494"/>
      <c r="Q65" s="494"/>
      <c r="R65" s="494"/>
      <c r="S65" s="494"/>
      <c r="T65" s="494"/>
      <c r="U65" s="494"/>
      <c r="V65" s="494"/>
      <c r="W65" s="494"/>
    </row>
    <row r="66" spans="1:23" ht="16.5" customHeight="1" thickBot="1">
      <c r="A66" s="458"/>
      <c r="B66" s="458"/>
      <c r="C66" s="458"/>
      <c r="D66" s="458"/>
      <c r="E66" s="458"/>
      <c r="F66" s="458"/>
      <c r="G66" s="458"/>
      <c r="H66" s="481"/>
      <c r="I66" s="481"/>
      <c r="J66" s="481"/>
      <c r="K66" s="458"/>
      <c r="L66" s="458"/>
      <c r="M66" s="458"/>
      <c r="N66" s="458"/>
      <c r="O66" s="458"/>
      <c r="P66" s="458"/>
      <c r="Q66" s="458"/>
      <c r="R66" s="458"/>
      <c r="S66" s="458"/>
      <c r="T66" s="458"/>
      <c r="U66" s="458"/>
      <c r="V66" s="458"/>
      <c r="W66" s="458"/>
    </row>
    <row r="67" spans="1:23" ht="15.75" customHeight="1" thickBot="1">
      <c r="A67" s="458" t="s">
        <v>509</v>
      </c>
      <c r="B67" s="458"/>
      <c r="C67" s="458"/>
      <c r="D67" s="458"/>
      <c r="E67" s="458"/>
      <c r="F67" s="458"/>
      <c r="G67" s="458"/>
      <c r="H67" s="545">
        <v>6008</v>
      </c>
      <c r="I67" s="545">
        <v>0</v>
      </c>
      <c r="J67" s="545">
        <v>0</v>
      </c>
      <c r="K67" s="480">
        <f>H67+I67-J67</f>
        <v>6008</v>
      </c>
      <c r="L67" s="458"/>
      <c r="M67" s="458"/>
      <c r="N67" s="458"/>
      <c r="O67" s="458"/>
      <c r="P67" s="458"/>
      <c r="Q67" s="458"/>
      <c r="R67" s="458"/>
      <c r="S67" s="458"/>
      <c r="T67" s="458"/>
      <c r="U67" s="458"/>
      <c r="V67" s="458"/>
      <c r="W67" s="458"/>
    </row>
    <row r="68" spans="1:23" ht="15.75" customHeight="1">
      <c r="A68" s="458" t="s">
        <v>497</v>
      </c>
      <c r="B68" s="458"/>
      <c r="C68" s="458"/>
      <c r="D68" s="458"/>
      <c r="E68" s="458"/>
      <c r="G68" s="458"/>
      <c r="H68" s="566">
        <f>H62</f>
        <v>2150</v>
      </c>
      <c r="I68" s="566">
        <v>0</v>
      </c>
      <c r="J68" s="566">
        <v>0</v>
      </c>
      <c r="K68" s="458"/>
      <c r="L68" s="458"/>
      <c r="M68" s="458"/>
      <c r="N68" s="458"/>
      <c r="O68" s="458"/>
      <c r="P68" s="458"/>
      <c r="Q68" s="458"/>
      <c r="R68" s="458"/>
      <c r="S68" s="458"/>
      <c r="T68" s="458"/>
      <c r="U68" s="458"/>
      <c r="V68" s="458"/>
      <c r="W68" s="458"/>
    </row>
    <row r="69" spans="1:23" ht="15.75" customHeight="1">
      <c r="A69" s="458" t="s">
        <v>498</v>
      </c>
      <c r="B69" s="458"/>
      <c r="C69" s="458"/>
      <c r="D69" s="458"/>
      <c r="E69" s="458"/>
      <c r="F69" s="458"/>
      <c r="G69" s="458"/>
      <c r="H69" s="542">
        <f>H80</f>
        <v>6491</v>
      </c>
      <c r="I69" s="542">
        <v>0</v>
      </c>
      <c r="J69" s="542">
        <v>0</v>
      </c>
      <c r="K69" s="458"/>
      <c r="L69" s="458"/>
      <c r="M69" s="458"/>
      <c r="N69" s="458"/>
      <c r="O69" s="458"/>
      <c r="P69" s="458"/>
      <c r="Q69" s="458"/>
      <c r="R69" s="458"/>
      <c r="S69" s="458"/>
      <c r="T69" s="458"/>
      <c r="U69" s="458"/>
      <c r="V69" s="458"/>
      <c r="W69" s="458"/>
    </row>
    <row r="70" spans="1:23" ht="15.75" customHeight="1">
      <c r="A70" s="458" t="s">
        <v>499</v>
      </c>
      <c r="B70" s="458"/>
      <c r="C70" s="458"/>
      <c r="D70" s="458"/>
      <c r="E70" s="458"/>
      <c r="F70" s="458"/>
      <c r="G70" s="458"/>
      <c r="H70" s="542">
        <f>(H68+H69)*(21%)</f>
        <v>1814.61</v>
      </c>
      <c r="I70" s="542"/>
      <c r="J70" s="542"/>
      <c r="K70" s="458"/>
      <c r="L70" s="458"/>
      <c r="M70" s="458"/>
      <c r="N70" s="458"/>
      <c r="O70" s="458"/>
      <c r="P70" s="458"/>
      <c r="Q70" s="458"/>
      <c r="R70" s="458"/>
      <c r="S70" s="458"/>
      <c r="T70" s="458"/>
      <c r="U70" s="458"/>
      <c r="V70" s="458"/>
      <c r="W70" s="458"/>
    </row>
    <row r="71" spans="1:23" ht="15.75" customHeight="1">
      <c r="A71" s="458" t="s">
        <v>500</v>
      </c>
      <c r="B71" s="458"/>
      <c r="C71" s="458"/>
      <c r="D71" s="458"/>
      <c r="E71" s="458"/>
      <c r="F71" s="458"/>
      <c r="G71" s="458"/>
      <c r="H71" s="543"/>
      <c r="I71" s="543"/>
      <c r="J71" s="543"/>
      <c r="K71" s="458"/>
      <c r="L71" s="458"/>
      <c r="M71" s="458"/>
      <c r="N71" s="458"/>
      <c r="O71" s="458"/>
      <c r="P71" s="458"/>
      <c r="Q71" s="458"/>
      <c r="R71" s="458"/>
      <c r="S71" s="458"/>
      <c r="T71" s="458"/>
      <c r="U71" s="458"/>
      <c r="V71" s="458"/>
      <c r="W71" s="458"/>
    </row>
    <row r="72" spans="1:23" ht="15.75" customHeight="1">
      <c r="A72" s="494" t="s">
        <v>510</v>
      </c>
      <c r="B72" s="458"/>
      <c r="C72" s="458"/>
      <c r="D72" s="458"/>
      <c r="E72" s="458"/>
      <c r="F72" s="458"/>
      <c r="G72" s="458"/>
      <c r="H72" s="544">
        <f>H67+H68+H69-H70</f>
        <v>12834.39</v>
      </c>
      <c r="I72" s="544">
        <v>0</v>
      </c>
      <c r="J72" s="544">
        <v>0</v>
      </c>
      <c r="K72" s="458"/>
      <c r="L72" s="458"/>
      <c r="M72" s="458"/>
      <c r="N72" s="458"/>
      <c r="O72" s="458"/>
      <c r="P72" s="458"/>
      <c r="Q72" s="458"/>
      <c r="R72" s="458"/>
      <c r="S72" s="458"/>
      <c r="T72" s="458"/>
      <c r="U72" s="458"/>
      <c r="V72" s="458"/>
      <c r="W72" s="458"/>
    </row>
    <row r="73" spans="1:23" ht="15.75" customHeight="1" thickBot="1">
      <c r="A73" s="458" t="s">
        <v>501</v>
      </c>
      <c r="B73" s="458"/>
      <c r="C73" s="458"/>
      <c r="D73" s="458"/>
      <c r="E73" s="458"/>
      <c r="F73" s="458"/>
      <c r="G73" s="458"/>
      <c r="H73" s="545">
        <v>-45</v>
      </c>
      <c r="I73" s="545">
        <v>0</v>
      </c>
      <c r="J73" s="545">
        <v>0</v>
      </c>
      <c r="K73" s="458"/>
      <c r="L73" s="458"/>
      <c r="M73" s="458"/>
      <c r="N73" s="458"/>
      <c r="O73" s="458"/>
      <c r="P73" s="458"/>
      <c r="Q73" s="458"/>
      <c r="R73" s="458"/>
      <c r="S73" s="458"/>
      <c r="T73" s="458"/>
      <c r="U73" s="458"/>
      <c r="V73" s="458"/>
      <c r="W73" s="458"/>
    </row>
    <row r="74" spans="1:23" ht="15.75" customHeight="1" thickBot="1">
      <c r="A74" s="494" t="s">
        <v>502</v>
      </c>
      <c r="B74" s="494"/>
      <c r="C74" s="494"/>
      <c r="D74" s="494"/>
      <c r="E74" s="494"/>
      <c r="F74" s="494"/>
      <c r="G74" s="494"/>
      <c r="H74" s="546">
        <f>H72-H73</f>
        <v>12879.39</v>
      </c>
      <c r="I74" s="546">
        <v>0</v>
      </c>
      <c r="J74" s="546">
        <v>0</v>
      </c>
      <c r="K74" s="480">
        <f>H74+I74-J74</f>
        <v>12879.39</v>
      </c>
      <c r="L74" s="539">
        <v>10708</v>
      </c>
      <c r="M74" s="539">
        <v>10504</v>
      </c>
      <c r="N74" s="540">
        <f>(M74/K74)^(1/2)-1</f>
        <v>-9.6912752971114347E-2</v>
      </c>
      <c r="O74" s="494"/>
      <c r="P74" s="494"/>
      <c r="Q74" s="494"/>
      <c r="R74" s="494"/>
      <c r="S74" s="494"/>
      <c r="T74" s="494"/>
      <c r="U74" s="494"/>
      <c r="V74" s="494"/>
      <c r="W74" s="494"/>
    </row>
    <row r="75" spans="1:23" ht="15.75" customHeight="1">
      <c r="A75" s="458"/>
      <c r="B75" s="458"/>
      <c r="C75" s="458"/>
      <c r="D75" s="458"/>
      <c r="E75" s="458"/>
      <c r="F75" s="458"/>
      <c r="G75" s="458"/>
      <c r="H75" s="481"/>
      <c r="I75" s="481"/>
      <c r="J75" s="481"/>
      <c r="K75" s="458"/>
      <c r="L75" s="458"/>
      <c r="M75" s="458"/>
      <c r="N75" s="458"/>
      <c r="O75" s="458"/>
      <c r="P75" s="458"/>
      <c r="Q75" s="458"/>
      <c r="R75" s="458"/>
      <c r="S75" s="458"/>
      <c r="T75" s="458"/>
      <c r="U75" s="458"/>
      <c r="V75" s="458"/>
      <c r="W75" s="458"/>
    </row>
    <row r="76" spans="1:23" ht="15.75" customHeight="1" thickBot="1">
      <c r="A76" s="458" t="s">
        <v>503</v>
      </c>
      <c r="B76" s="458"/>
      <c r="C76" s="458"/>
      <c r="D76" s="458"/>
      <c r="E76" s="458"/>
      <c r="F76" s="458"/>
      <c r="G76" s="458"/>
      <c r="H76" s="545">
        <f>C17</f>
        <v>1129</v>
      </c>
      <c r="I76" s="545">
        <v>0</v>
      </c>
      <c r="J76" s="545">
        <v>0</v>
      </c>
      <c r="K76" s="458"/>
      <c r="L76" s="458"/>
      <c r="M76" s="458"/>
      <c r="N76" s="458"/>
      <c r="O76" s="458"/>
      <c r="P76" s="458"/>
      <c r="Q76" s="458"/>
      <c r="R76" s="458"/>
      <c r="S76" s="458"/>
      <c r="T76" s="458"/>
      <c r="U76" s="458"/>
      <c r="V76" s="458"/>
      <c r="W76" s="458"/>
    </row>
    <row r="77" spans="1:23" ht="15.75" customHeight="1" thickBot="1">
      <c r="A77" s="458" t="s">
        <v>504</v>
      </c>
      <c r="B77" s="458"/>
      <c r="C77" s="458"/>
      <c r="D77" s="458"/>
      <c r="E77" s="458"/>
      <c r="F77" s="458"/>
      <c r="G77" s="458"/>
      <c r="H77" s="547">
        <f>H74/H76</f>
        <v>11.4077856510186</v>
      </c>
      <c r="I77" s="547"/>
      <c r="J77" s="547"/>
      <c r="K77" s="480">
        <f>H77+I77-J77</f>
        <v>11.4077856510186</v>
      </c>
      <c r="L77" s="549">
        <f>L74/$H$76</f>
        <v>9.4844995571302029</v>
      </c>
      <c r="M77" s="549">
        <f>M74/$H$76</f>
        <v>9.3038086802480073</v>
      </c>
      <c r="N77" s="458"/>
      <c r="O77" s="458"/>
      <c r="P77" s="458"/>
      <c r="Q77" s="458"/>
      <c r="R77" s="458"/>
      <c r="S77" s="458"/>
      <c r="T77" s="458"/>
      <c r="U77" s="458"/>
      <c r="V77" s="458"/>
      <c r="W77" s="458"/>
    </row>
    <row r="78" spans="1:23" ht="15.75" customHeight="1">
      <c r="A78" s="458"/>
      <c r="B78" s="458"/>
      <c r="C78" s="458"/>
      <c r="D78" s="458"/>
      <c r="E78" s="458"/>
      <c r="F78" s="458"/>
      <c r="G78" s="458"/>
      <c r="H78" s="481"/>
      <c r="I78" s="481"/>
      <c r="J78" s="481"/>
      <c r="K78" s="481"/>
      <c r="L78" s="458"/>
      <c r="M78" s="458"/>
      <c r="N78" s="458"/>
      <c r="O78" s="458"/>
      <c r="P78" s="458"/>
      <c r="Q78" s="458"/>
      <c r="R78" s="458"/>
      <c r="S78" s="458"/>
      <c r="T78" s="458"/>
      <c r="U78" s="458"/>
      <c r="V78" s="458"/>
      <c r="W78" s="458"/>
    </row>
    <row r="79" spans="1:23" ht="15.75" customHeight="1">
      <c r="A79" s="458"/>
      <c r="B79" s="458"/>
      <c r="C79" s="458"/>
      <c r="D79" s="458"/>
      <c r="E79" s="458"/>
      <c r="F79" s="458"/>
      <c r="G79" s="458"/>
      <c r="H79" s="458"/>
      <c r="I79" s="458"/>
      <c r="J79" s="458"/>
      <c r="K79" s="458"/>
      <c r="L79" s="458"/>
      <c r="M79" s="458"/>
      <c r="N79" s="458"/>
      <c r="O79" s="458"/>
      <c r="P79" s="458"/>
      <c r="Q79" s="458"/>
      <c r="R79" s="458"/>
      <c r="S79" s="458"/>
      <c r="T79" s="458"/>
      <c r="U79" s="458"/>
      <c r="V79" s="458"/>
      <c r="W79" s="458"/>
    </row>
    <row r="80" spans="1:23" ht="15.75" customHeight="1">
      <c r="A80" s="458"/>
      <c r="B80" s="458"/>
      <c r="C80" s="458"/>
      <c r="D80" s="458"/>
      <c r="E80" s="458"/>
      <c r="F80" s="458"/>
      <c r="G80" s="458"/>
      <c r="H80" s="566">
        <f>4010+1103+964+200+150+64</f>
        <v>6491</v>
      </c>
      <c r="I80" s="458"/>
      <c r="J80" s="458"/>
      <c r="K80" s="458"/>
      <c r="L80" s="458"/>
      <c r="M80" s="458"/>
      <c r="N80" s="458"/>
      <c r="O80" s="458"/>
      <c r="P80" s="458"/>
      <c r="Q80" s="458"/>
      <c r="R80" s="458"/>
      <c r="S80" s="458"/>
      <c r="T80" s="458"/>
      <c r="U80" s="458"/>
      <c r="V80" s="458"/>
      <c r="W80" s="458"/>
    </row>
    <row r="81" spans="1:23" ht="15.75" customHeight="1">
      <c r="A81" s="458"/>
      <c r="B81" s="458"/>
      <c r="C81" s="458"/>
      <c r="D81" s="458"/>
      <c r="E81" s="458"/>
      <c r="F81" s="458"/>
      <c r="G81" s="458"/>
      <c r="H81" s="458"/>
      <c r="I81" s="458"/>
      <c r="J81" s="458"/>
      <c r="K81" s="458"/>
      <c r="L81" s="486"/>
      <c r="M81" s="458"/>
      <c r="N81" s="458"/>
      <c r="O81" s="458"/>
      <c r="P81" s="458"/>
      <c r="Q81" s="458"/>
      <c r="R81" s="458"/>
      <c r="S81" s="458"/>
      <c r="T81" s="458"/>
      <c r="U81" s="458"/>
      <c r="V81" s="458"/>
      <c r="W81" s="458"/>
    </row>
    <row r="82" spans="1:23" ht="15.75" customHeight="1">
      <c r="A82" s="458"/>
      <c r="B82" s="458"/>
      <c r="C82" s="458"/>
      <c r="D82" s="458"/>
      <c r="E82" s="458"/>
      <c r="F82" s="458"/>
      <c r="G82" s="458"/>
      <c r="H82" s="458"/>
      <c r="I82" s="458"/>
      <c r="J82" s="458"/>
      <c r="K82" s="458"/>
      <c r="L82" s="458"/>
      <c r="M82" s="458"/>
      <c r="N82" s="458"/>
      <c r="O82" s="458"/>
      <c r="P82" s="458"/>
      <c r="Q82" s="458"/>
      <c r="R82" s="458"/>
      <c r="S82" s="458"/>
      <c r="T82" s="458"/>
      <c r="U82" s="458"/>
      <c r="V82" s="458"/>
      <c r="W82" s="458"/>
    </row>
    <row r="83" spans="1:23" ht="15.75" customHeight="1">
      <c r="A83" s="458"/>
      <c r="B83" s="458"/>
      <c r="C83" s="458"/>
      <c r="D83" s="458"/>
      <c r="E83" s="458"/>
      <c r="F83" s="458"/>
      <c r="G83" s="458"/>
      <c r="H83" s="458"/>
      <c r="I83" s="458"/>
      <c r="J83" s="458"/>
      <c r="K83" s="458"/>
      <c r="L83" s="458"/>
      <c r="M83" s="458"/>
      <c r="N83" s="458"/>
      <c r="O83" s="458"/>
      <c r="P83" s="458"/>
      <c r="Q83" s="458"/>
      <c r="R83" s="458"/>
      <c r="S83" s="458"/>
      <c r="T83" s="458"/>
      <c r="U83" s="458"/>
      <c r="V83" s="458"/>
      <c r="W83" s="458"/>
    </row>
    <row r="84" spans="1:23" ht="15.75" customHeight="1">
      <c r="A84" s="458"/>
      <c r="B84" s="458"/>
      <c r="C84" s="458"/>
      <c r="D84" s="458"/>
      <c r="E84" s="458"/>
      <c r="F84" s="458"/>
      <c r="G84" s="458"/>
      <c r="H84" s="458"/>
      <c r="I84" s="458"/>
      <c r="J84" s="458"/>
      <c r="K84" s="458"/>
      <c r="L84" s="458"/>
      <c r="M84" s="458"/>
      <c r="N84" s="458"/>
      <c r="O84" s="458"/>
      <c r="P84" s="458"/>
      <c r="Q84" s="458"/>
      <c r="R84" s="458"/>
      <c r="S84" s="458"/>
      <c r="T84" s="458"/>
      <c r="U84" s="458"/>
      <c r="V84" s="458"/>
      <c r="W84" s="458"/>
    </row>
    <row r="85" spans="1:23" ht="15.75" customHeight="1">
      <c r="A85" s="458"/>
      <c r="B85" s="458"/>
      <c r="C85" s="458"/>
      <c r="D85" s="458"/>
      <c r="E85" s="458"/>
      <c r="F85" s="458"/>
      <c r="G85" s="458"/>
      <c r="H85" s="458"/>
      <c r="I85" s="458"/>
      <c r="J85" s="458"/>
      <c r="K85" s="458"/>
      <c r="L85" s="458"/>
      <c r="M85" s="458"/>
      <c r="N85" s="458"/>
      <c r="O85" s="458"/>
      <c r="P85" s="458"/>
      <c r="Q85" s="458"/>
      <c r="R85" s="458"/>
      <c r="S85" s="458"/>
      <c r="T85" s="458"/>
      <c r="U85" s="458"/>
      <c r="V85" s="458"/>
      <c r="W85" s="458"/>
    </row>
    <row r="86" spans="1:23" ht="15.75" customHeight="1">
      <c r="A86" s="458"/>
      <c r="B86" s="458"/>
      <c r="C86" s="458"/>
      <c r="D86" s="458"/>
      <c r="E86" s="458"/>
      <c r="F86" s="458"/>
      <c r="G86" s="458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  <c r="S86" s="458"/>
      <c r="T86" s="458"/>
      <c r="U86" s="458"/>
      <c r="V86" s="458"/>
      <c r="W86" s="458"/>
    </row>
    <row r="87" spans="1:23" ht="15.75" customHeight="1">
      <c r="A87" s="458"/>
      <c r="B87" s="458"/>
      <c r="C87" s="458"/>
      <c r="D87" s="458"/>
      <c r="E87" s="458"/>
      <c r="F87" s="458"/>
      <c r="G87" s="458"/>
      <c r="H87" s="458"/>
      <c r="I87" s="458"/>
      <c r="J87" s="458"/>
      <c r="K87" s="458"/>
      <c r="L87" s="458"/>
      <c r="M87" s="458"/>
      <c r="N87" s="458"/>
      <c r="O87" s="458"/>
      <c r="P87" s="458"/>
      <c r="Q87" s="458"/>
      <c r="R87" s="458"/>
      <c r="S87" s="458"/>
      <c r="T87" s="458"/>
      <c r="U87" s="458"/>
      <c r="V87" s="458"/>
      <c r="W87" s="458"/>
    </row>
    <row r="88" spans="1:23" ht="15.75" customHeight="1">
      <c r="A88" s="458"/>
      <c r="B88" s="458"/>
      <c r="C88" s="458"/>
      <c r="D88" s="458"/>
      <c r="E88" s="458"/>
      <c r="F88" s="458"/>
      <c r="G88" s="458"/>
      <c r="H88" s="458"/>
      <c r="I88" s="458"/>
      <c r="J88" s="458"/>
      <c r="K88" s="458"/>
      <c r="L88" s="458"/>
      <c r="M88" s="458"/>
      <c r="N88" s="458"/>
      <c r="O88" s="458"/>
      <c r="P88" s="458"/>
      <c r="Q88" s="458"/>
      <c r="R88" s="458"/>
      <c r="S88" s="458"/>
      <c r="T88" s="458"/>
      <c r="U88" s="458"/>
      <c r="V88" s="458"/>
      <c r="W88" s="458"/>
    </row>
    <row r="89" spans="1:23" ht="15.75" customHeight="1">
      <c r="A89" s="458"/>
      <c r="B89" s="458"/>
      <c r="C89" s="458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58"/>
      <c r="R89" s="458"/>
      <c r="S89" s="458"/>
      <c r="T89" s="458"/>
      <c r="U89" s="458"/>
      <c r="V89" s="458"/>
      <c r="W89" s="458"/>
    </row>
    <row r="90" spans="1:23" ht="15.75" customHeight="1">
      <c r="A90" s="458"/>
      <c r="B90" s="458"/>
      <c r="C90" s="458"/>
      <c r="D90" s="458"/>
      <c r="E90" s="458"/>
      <c r="F90" s="458"/>
      <c r="G90" s="458"/>
      <c r="H90" s="458"/>
      <c r="I90" s="458"/>
      <c r="J90" s="458"/>
      <c r="K90" s="458"/>
      <c r="L90" s="458"/>
      <c r="M90" s="458"/>
      <c r="N90" s="458"/>
      <c r="O90" s="458"/>
      <c r="P90" s="458"/>
      <c r="Q90" s="458"/>
      <c r="R90" s="458"/>
      <c r="S90" s="458"/>
      <c r="T90" s="458"/>
      <c r="U90" s="458"/>
      <c r="V90" s="458"/>
      <c r="W90" s="458"/>
    </row>
    <row r="91" spans="1:23" ht="15.75" customHeight="1">
      <c r="A91" s="458"/>
      <c r="B91" s="458"/>
      <c r="C91" s="458"/>
      <c r="D91" s="458"/>
      <c r="E91" s="458"/>
      <c r="F91" s="458"/>
      <c r="G91" s="458"/>
      <c r="H91" s="458"/>
      <c r="I91" s="458"/>
      <c r="J91" s="458"/>
      <c r="K91" s="458"/>
      <c r="L91" s="458"/>
      <c r="M91" s="458"/>
      <c r="N91" s="458"/>
      <c r="O91" s="458"/>
      <c r="P91" s="458"/>
      <c r="Q91" s="458"/>
      <c r="R91" s="458"/>
      <c r="S91" s="458"/>
      <c r="T91" s="458"/>
      <c r="U91" s="458"/>
      <c r="V91" s="458"/>
      <c r="W91" s="458"/>
    </row>
    <row r="92" spans="1:23" ht="15.75" customHeight="1">
      <c r="A92" s="458"/>
      <c r="B92" s="458"/>
      <c r="C92" s="458"/>
      <c r="D92" s="458"/>
      <c r="E92" s="458"/>
      <c r="F92" s="458"/>
      <c r="G92" s="458"/>
      <c r="H92" s="458"/>
      <c r="I92" s="458"/>
      <c r="J92" s="458"/>
      <c r="K92" s="458"/>
      <c r="L92" s="458"/>
      <c r="M92" s="458"/>
      <c r="N92" s="458"/>
      <c r="O92" s="458"/>
      <c r="P92" s="458"/>
      <c r="Q92" s="458"/>
      <c r="R92" s="458"/>
      <c r="S92" s="458"/>
      <c r="T92" s="458"/>
      <c r="U92" s="458"/>
      <c r="V92" s="458"/>
      <c r="W92" s="458"/>
    </row>
    <row r="93" spans="1:23" ht="15.75" customHeight="1">
      <c r="A93" s="458"/>
      <c r="B93" s="458"/>
      <c r="C93" s="458"/>
      <c r="D93" s="458"/>
      <c r="E93" s="458"/>
      <c r="F93" s="458"/>
      <c r="G93" s="458"/>
      <c r="H93" s="458"/>
      <c r="I93" s="458"/>
      <c r="J93" s="458"/>
      <c r="K93" s="458"/>
      <c r="L93" s="458"/>
      <c r="M93" s="458"/>
      <c r="N93" s="458"/>
      <c r="O93" s="458"/>
      <c r="P93" s="458"/>
      <c r="Q93" s="458"/>
      <c r="R93" s="458"/>
      <c r="S93" s="458"/>
      <c r="T93" s="458"/>
      <c r="U93" s="458"/>
      <c r="V93" s="458"/>
      <c r="W93" s="458"/>
    </row>
    <row r="94" spans="1:23" ht="15.75" customHeight="1">
      <c r="A94" s="458"/>
      <c r="B94" s="458"/>
      <c r="C94" s="458"/>
      <c r="D94" s="458"/>
      <c r="E94" s="458"/>
      <c r="F94" s="458"/>
      <c r="G94" s="458"/>
      <c r="H94" s="458"/>
      <c r="I94" s="458"/>
      <c r="J94" s="458"/>
      <c r="K94" s="458"/>
      <c r="L94" s="458"/>
      <c r="M94" s="458"/>
      <c r="N94" s="458"/>
      <c r="O94" s="458"/>
      <c r="P94" s="458"/>
      <c r="Q94" s="458"/>
      <c r="R94" s="458"/>
      <c r="S94" s="458"/>
      <c r="T94" s="458"/>
      <c r="U94" s="458"/>
      <c r="V94" s="458"/>
      <c r="W94" s="458"/>
    </row>
    <row r="95" spans="1:23" ht="15.75" customHeight="1">
      <c r="A95" s="458"/>
      <c r="B95" s="458"/>
      <c r="C95" s="458"/>
      <c r="D95" s="458"/>
      <c r="E95" s="458"/>
      <c r="F95" s="458"/>
      <c r="G95" s="458"/>
      <c r="H95" s="458"/>
      <c r="I95" s="458"/>
      <c r="J95" s="458"/>
      <c r="K95" s="458"/>
      <c r="L95" s="458"/>
      <c r="M95" s="458"/>
      <c r="N95" s="458"/>
      <c r="O95" s="458"/>
      <c r="P95" s="458"/>
      <c r="Q95" s="458"/>
      <c r="R95" s="458"/>
      <c r="S95" s="458"/>
      <c r="T95" s="458"/>
      <c r="U95" s="458"/>
      <c r="V95" s="458"/>
      <c r="W95" s="458"/>
    </row>
    <row r="96" spans="1:23" ht="15.75" customHeight="1">
      <c r="A96" s="458"/>
      <c r="B96" s="458"/>
      <c r="C96" s="458"/>
      <c r="D96" s="458"/>
      <c r="E96" s="458"/>
      <c r="F96" s="458"/>
      <c r="G96" s="458"/>
      <c r="H96" s="458"/>
      <c r="I96" s="458"/>
      <c r="J96" s="458"/>
      <c r="K96" s="458"/>
      <c r="L96" s="458"/>
      <c r="M96" s="458"/>
      <c r="N96" s="458"/>
      <c r="O96" s="458"/>
      <c r="P96" s="458"/>
      <c r="Q96" s="458"/>
      <c r="R96" s="458"/>
      <c r="S96" s="458"/>
      <c r="T96" s="458"/>
      <c r="U96" s="458"/>
      <c r="V96" s="458"/>
      <c r="W96" s="458"/>
    </row>
    <row r="97" spans="1:23" ht="15.75" customHeight="1">
      <c r="A97" s="458"/>
      <c r="B97" s="458"/>
      <c r="C97" s="458"/>
      <c r="D97" s="458"/>
      <c r="E97" s="458"/>
      <c r="F97" s="458"/>
      <c r="G97" s="458"/>
      <c r="H97" s="458"/>
      <c r="I97" s="458"/>
      <c r="J97" s="458"/>
      <c r="K97" s="458"/>
      <c r="L97" s="458"/>
      <c r="M97" s="458"/>
      <c r="N97" s="458"/>
      <c r="O97" s="458"/>
      <c r="P97" s="458"/>
      <c r="Q97" s="458"/>
      <c r="R97" s="458"/>
      <c r="S97" s="458"/>
      <c r="T97" s="458"/>
      <c r="U97" s="458"/>
      <c r="V97" s="458"/>
      <c r="W97" s="458"/>
    </row>
    <row r="98" spans="1:23" ht="15.75" customHeight="1">
      <c r="A98" s="458"/>
      <c r="B98" s="458"/>
      <c r="C98" s="458"/>
      <c r="D98" s="458"/>
      <c r="E98" s="458"/>
      <c r="F98" s="458"/>
      <c r="G98" s="458"/>
      <c r="H98" s="458"/>
      <c r="I98" s="458"/>
      <c r="J98" s="458"/>
      <c r="K98" s="458"/>
      <c r="L98" s="458"/>
      <c r="M98" s="458"/>
      <c r="N98" s="458"/>
      <c r="O98" s="458"/>
      <c r="P98" s="458"/>
      <c r="Q98" s="458"/>
      <c r="R98" s="458"/>
      <c r="S98" s="458"/>
      <c r="T98" s="458"/>
      <c r="U98" s="458"/>
      <c r="V98" s="458"/>
      <c r="W98" s="458"/>
    </row>
    <row r="99" spans="1:23" ht="15.75" customHeight="1">
      <c r="A99" s="458"/>
      <c r="B99" s="458"/>
      <c r="C99" s="458"/>
      <c r="D99" s="458"/>
      <c r="E99" s="458"/>
      <c r="F99" s="458"/>
      <c r="G99" s="458"/>
      <c r="H99" s="458"/>
      <c r="I99" s="458"/>
      <c r="J99" s="458"/>
      <c r="K99" s="458"/>
      <c r="L99" s="458"/>
      <c r="M99" s="458"/>
      <c r="N99" s="458"/>
      <c r="O99" s="458"/>
      <c r="P99" s="458"/>
      <c r="Q99" s="458"/>
      <c r="R99" s="458"/>
      <c r="S99" s="458"/>
      <c r="T99" s="458"/>
      <c r="U99" s="458"/>
      <c r="V99" s="458"/>
      <c r="W99" s="458"/>
    </row>
    <row r="100" spans="1:23" ht="15.75" customHeight="1">
      <c r="A100" s="458"/>
      <c r="B100" s="458"/>
      <c r="C100" s="458"/>
      <c r="D100" s="458"/>
      <c r="E100" s="458"/>
      <c r="F100" s="458"/>
      <c r="G100" s="458"/>
      <c r="H100" s="458"/>
      <c r="I100" s="458"/>
      <c r="J100" s="458"/>
      <c r="K100" s="458"/>
      <c r="L100" s="458"/>
      <c r="M100" s="458"/>
      <c r="N100" s="458"/>
      <c r="O100" s="458"/>
      <c r="P100" s="458"/>
      <c r="Q100" s="458"/>
      <c r="R100" s="458"/>
      <c r="S100" s="458"/>
      <c r="T100" s="458"/>
      <c r="U100" s="458"/>
      <c r="V100" s="458"/>
      <c r="W100" s="458"/>
    </row>
    <row r="101" spans="1:23" ht="15.75" customHeight="1">
      <c r="A101" s="458"/>
      <c r="B101" s="458"/>
      <c r="C101" s="458"/>
      <c r="D101" s="458"/>
      <c r="E101" s="458"/>
      <c r="F101" s="458"/>
      <c r="G101" s="458"/>
      <c r="H101" s="458"/>
      <c r="I101" s="458"/>
      <c r="J101" s="458"/>
      <c r="K101" s="458"/>
      <c r="L101" s="458"/>
      <c r="M101" s="458"/>
      <c r="N101" s="458"/>
      <c r="O101" s="458"/>
      <c r="P101" s="458"/>
      <c r="Q101" s="458"/>
      <c r="R101" s="458"/>
      <c r="S101" s="458"/>
      <c r="T101" s="458"/>
      <c r="U101" s="458"/>
      <c r="V101" s="458"/>
      <c r="W101" s="458"/>
    </row>
    <row r="102" spans="1:23" ht="15.75" customHeight="1">
      <c r="A102" s="458"/>
      <c r="B102" s="458"/>
      <c r="C102" s="458"/>
      <c r="D102" s="458"/>
      <c r="E102" s="458"/>
      <c r="F102" s="458"/>
      <c r="G102" s="458"/>
      <c r="H102" s="458"/>
      <c r="I102" s="458"/>
      <c r="J102" s="458"/>
      <c r="K102" s="458"/>
      <c r="L102" s="458"/>
      <c r="M102" s="458"/>
      <c r="N102" s="458"/>
      <c r="O102" s="458"/>
      <c r="P102" s="458"/>
      <c r="Q102" s="458"/>
      <c r="R102" s="458"/>
      <c r="S102" s="458"/>
      <c r="T102" s="458"/>
      <c r="U102" s="458"/>
      <c r="V102" s="458"/>
      <c r="W102" s="458"/>
    </row>
    <row r="103" spans="1:23" ht="15.75" customHeight="1">
      <c r="A103" s="458"/>
      <c r="B103" s="458"/>
      <c r="C103" s="458"/>
      <c r="D103" s="458"/>
      <c r="E103" s="458"/>
      <c r="F103" s="458"/>
      <c r="G103" s="458"/>
      <c r="H103" s="458"/>
      <c r="I103" s="458"/>
      <c r="J103" s="458"/>
      <c r="K103" s="458"/>
      <c r="L103" s="458"/>
      <c r="M103" s="458"/>
      <c r="N103" s="458"/>
      <c r="O103" s="458"/>
      <c r="P103" s="458"/>
      <c r="Q103" s="458"/>
      <c r="R103" s="458"/>
      <c r="S103" s="458"/>
      <c r="T103" s="458"/>
      <c r="U103" s="458"/>
      <c r="V103" s="458"/>
      <c r="W103" s="458"/>
    </row>
    <row r="104" spans="1:23" ht="15.75" customHeight="1">
      <c r="A104" s="458"/>
      <c r="B104" s="458"/>
      <c r="C104" s="458"/>
      <c r="D104" s="458"/>
      <c r="E104" s="458"/>
      <c r="F104" s="458"/>
      <c r="G104" s="458"/>
      <c r="H104" s="458"/>
      <c r="I104" s="458"/>
      <c r="J104" s="458"/>
      <c r="K104" s="458"/>
      <c r="L104" s="458"/>
      <c r="M104" s="458"/>
      <c r="N104" s="458"/>
      <c r="O104" s="458"/>
      <c r="P104" s="458"/>
      <c r="Q104" s="458"/>
      <c r="R104" s="458"/>
      <c r="S104" s="458"/>
      <c r="T104" s="458"/>
      <c r="U104" s="458"/>
      <c r="V104" s="458"/>
      <c r="W104" s="458"/>
    </row>
    <row r="105" spans="1:23" ht="15.75" customHeight="1">
      <c r="A105" s="458"/>
      <c r="B105" s="458"/>
      <c r="C105" s="458"/>
      <c r="D105" s="458"/>
      <c r="E105" s="458"/>
      <c r="F105" s="458"/>
      <c r="G105" s="458"/>
      <c r="H105" s="458"/>
      <c r="I105" s="458"/>
      <c r="J105" s="458"/>
      <c r="K105" s="458"/>
      <c r="L105" s="458"/>
      <c r="M105" s="458"/>
      <c r="N105" s="458"/>
      <c r="O105" s="458"/>
      <c r="P105" s="458"/>
      <c r="Q105" s="458"/>
      <c r="R105" s="458"/>
      <c r="S105" s="458"/>
      <c r="T105" s="458"/>
      <c r="U105" s="458"/>
      <c r="V105" s="458"/>
      <c r="W105" s="458"/>
    </row>
    <row r="106" spans="1:23" ht="15.75" customHeight="1">
      <c r="A106" s="458"/>
      <c r="B106" s="458"/>
      <c r="C106" s="458"/>
      <c r="D106" s="458"/>
      <c r="E106" s="458"/>
      <c r="F106" s="458"/>
      <c r="G106" s="458"/>
      <c r="H106" s="458"/>
      <c r="I106" s="458"/>
      <c r="J106" s="458"/>
      <c r="K106" s="458"/>
      <c r="L106" s="458"/>
      <c r="M106" s="458"/>
      <c r="N106" s="458"/>
      <c r="O106" s="458"/>
      <c r="P106" s="458"/>
      <c r="Q106" s="458"/>
      <c r="R106" s="458"/>
      <c r="S106" s="458"/>
      <c r="T106" s="458"/>
      <c r="U106" s="458"/>
      <c r="V106" s="458"/>
      <c r="W106" s="458"/>
    </row>
    <row r="107" spans="1:23" ht="15.75" customHeight="1">
      <c r="A107" s="458"/>
      <c r="B107" s="458"/>
      <c r="C107" s="458"/>
      <c r="D107" s="458"/>
      <c r="E107" s="458"/>
      <c r="F107" s="458"/>
      <c r="G107" s="458"/>
      <c r="H107" s="458"/>
      <c r="I107" s="458"/>
      <c r="J107" s="458"/>
      <c r="K107" s="458"/>
      <c r="L107" s="458"/>
      <c r="M107" s="458"/>
      <c r="N107" s="458"/>
      <c r="O107" s="458"/>
      <c r="P107" s="458"/>
      <c r="Q107" s="458"/>
      <c r="R107" s="458"/>
      <c r="S107" s="458"/>
      <c r="T107" s="458"/>
      <c r="U107" s="458"/>
      <c r="V107" s="458"/>
      <c r="W107" s="458"/>
    </row>
    <row r="108" spans="1:23" ht="15.75" customHeight="1">
      <c r="A108" s="458"/>
      <c r="B108" s="458"/>
      <c r="C108" s="458"/>
      <c r="D108" s="458"/>
      <c r="E108" s="458"/>
      <c r="F108" s="458"/>
      <c r="G108" s="458"/>
      <c r="H108" s="458"/>
      <c r="I108" s="458"/>
      <c r="J108" s="458"/>
      <c r="K108" s="458"/>
      <c r="L108" s="458"/>
      <c r="M108" s="458"/>
      <c r="N108" s="458"/>
      <c r="O108" s="458"/>
      <c r="P108" s="458"/>
      <c r="Q108" s="458"/>
      <c r="R108" s="458"/>
      <c r="S108" s="458"/>
      <c r="T108" s="458"/>
      <c r="U108" s="458"/>
      <c r="V108" s="458"/>
      <c r="W108" s="458"/>
    </row>
    <row r="109" spans="1:23" ht="15.75" customHeight="1">
      <c r="A109" s="458"/>
      <c r="B109" s="458"/>
      <c r="C109" s="458"/>
      <c r="D109" s="458"/>
      <c r="E109" s="458"/>
      <c r="F109" s="458"/>
      <c r="G109" s="458"/>
      <c r="H109" s="458"/>
      <c r="I109" s="458"/>
      <c r="J109" s="458"/>
      <c r="K109" s="458"/>
      <c r="L109" s="458"/>
      <c r="M109" s="458"/>
      <c r="N109" s="458"/>
      <c r="O109" s="458"/>
      <c r="P109" s="458"/>
      <c r="Q109" s="458"/>
      <c r="R109" s="458"/>
      <c r="S109" s="458"/>
      <c r="T109" s="458"/>
      <c r="U109" s="458"/>
      <c r="V109" s="458"/>
      <c r="W109" s="458"/>
    </row>
    <row r="110" spans="1:23" ht="15.75" customHeight="1">
      <c r="A110" s="458"/>
      <c r="B110" s="458"/>
      <c r="C110" s="458"/>
      <c r="D110" s="458"/>
      <c r="E110" s="458"/>
      <c r="F110" s="458"/>
      <c r="G110" s="458"/>
      <c r="H110" s="458"/>
      <c r="I110" s="458"/>
      <c r="J110" s="458"/>
      <c r="K110" s="458"/>
      <c r="L110" s="458"/>
      <c r="M110" s="458"/>
      <c r="N110" s="458"/>
      <c r="O110" s="458"/>
      <c r="P110" s="458"/>
      <c r="Q110" s="458"/>
      <c r="R110" s="458"/>
      <c r="S110" s="458"/>
      <c r="T110" s="458"/>
      <c r="U110" s="458"/>
      <c r="V110" s="458"/>
      <c r="W110" s="458"/>
    </row>
    <row r="111" spans="1:23" ht="15.75" customHeight="1">
      <c r="A111" s="458"/>
      <c r="B111" s="458"/>
      <c r="C111" s="458"/>
      <c r="D111" s="458"/>
      <c r="E111" s="458"/>
      <c r="F111" s="458"/>
      <c r="G111" s="458"/>
      <c r="H111" s="458"/>
      <c r="I111" s="458"/>
      <c r="J111" s="458"/>
      <c r="K111" s="458"/>
      <c r="L111" s="458"/>
      <c r="M111" s="458"/>
      <c r="N111" s="458"/>
      <c r="O111" s="458"/>
      <c r="P111" s="458"/>
      <c r="Q111" s="458"/>
      <c r="R111" s="458"/>
      <c r="S111" s="458"/>
      <c r="T111" s="458"/>
      <c r="U111" s="458"/>
      <c r="V111" s="458"/>
      <c r="W111" s="458"/>
    </row>
    <row r="112" spans="1:23" ht="15.75" customHeight="1">
      <c r="A112" s="458"/>
      <c r="B112" s="458"/>
      <c r="C112" s="458"/>
      <c r="D112" s="458"/>
      <c r="E112" s="458"/>
      <c r="F112" s="458"/>
      <c r="G112" s="458"/>
      <c r="H112" s="458"/>
      <c r="I112" s="458"/>
      <c r="J112" s="458"/>
      <c r="K112" s="458"/>
      <c r="L112" s="458"/>
      <c r="M112" s="458"/>
      <c r="N112" s="458"/>
      <c r="O112" s="458"/>
      <c r="P112" s="458"/>
      <c r="Q112" s="458"/>
      <c r="R112" s="458"/>
      <c r="S112" s="458"/>
      <c r="T112" s="458"/>
      <c r="U112" s="458"/>
      <c r="V112" s="458"/>
      <c r="W112" s="458"/>
    </row>
    <row r="113" spans="1:23" ht="15.75" customHeight="1">
      <c r="A113" s="458"/>
      <c r="B113" s="458"/>
      <c r="C113" s="458"/>
      <c r="D113" s="458"/>
      <c r="E113" s="458"/>
      <c r="F113" s="458"/>
      <c r="G113" s="458"/>
      <c r="H113" s="458"/>
      <c r="I113" s="458"/>
      <c r="J113" s="458"/>
      <c r="K113" s="458"/>
      <c r="L113" s="458"/>
      <c r="M113" s="458"/>
      <c r="N113" s="458"/>
      <c r="O113" s="458"/>
      <c r="P113" s="458"/>
      <c r="Q113" s="458"/>
      <c r="R113" s="458"/>
      <c r="S113" s="458"/>
      <c r="T113" s="458"/>
      <c r="U113" s="458"/>
      <c r="V113" s="458"/>
      <c r="W113" s="458"/>
    </row>
    <row r="114" spans="1:23" ht="15.75" customHeight="1">
      <c r="A114" s="458"/>
      <c r="B114" s="458"/>
      <c r="C114" s="458"/>
      <c r="D114" s="458"/>
      <c r="E114" s="458"/>
      <c r="F114" s="458"/>
      <c r="G114" s="458"/>
      <c r="H114" s="458"/>
      <c r="I114" s="458"/>
      <c r="J114" s="458"/>
      <c r="K114" s="458"/>
      <c r="L114" s="458"/>
      <c r="M114" s="458"/>
      <c r="N114" s="458"/>
      <c r="O114" s="458"/>
      <c r="P114" s="458"/>
      <c r="Q114" s="458"/>
      <c r="R114" s="458"/>
      <c r="S114" s="458"/>
      <c r="T114" s="458"/>
      <c r="U114" s="458"/>
      <c r="V114" s="458"/>
      <c r="W114" s="458"/>
    </row>
    <row r="115" spans="1:23" ht="15.75" customHeight="1">
      <c r="A115" s="458"/>
      <c r="B115" s="458"/>
      <c r="C115" s="458"/>
      <c r="D115" s="458"/>
      <c r="E115" s="458"/>
      <c r="F115" s="458"/>
      <c r="G115" s="458"/>
      <c r="H115" s="458"/>
      <c r="I115" s="458"/>
      <c r="J115" s="458"/>
      <c r="K115" s="458"/>
      <c r="L115" s="458"/>
      <c r="M115" s="458"/>
      <c r="N115" s="458"/>
      <c r="O115" s="458"/>
      <c r="P115" s="458"/>
      <c r="Q115" s="458"/>
      <c r="R115" s="458"/>
      <c r="S115" s="458"/>
      <c r="T115" s="458"/>
      <c r="U115" s="458"/>
      <c r="V115" s="458"/>
      <c r="W115" s="458"/>
    </row>
    <row r="116" spans="1:23" ht="15.75" customHeight="1">
      <c r="A116" s="458"/>
      <c r="B116" s="458"/>
      <c r="C116" s="458"/>
      <c r="D116" s="458"/>
      <c r="E116" s="458"/>
      <c r="F116" s="458"/>
      <c r="G116" s="458"/>
      <c r="H116" s="458"/>
      <c r="I116" s="458"/>
      <c r="J116" s="458"/>
      <c r="K116" s="458"/>
      <c r="L116" s="458"/>
      <c r="M116" s="458"/>
      <c r="N116" s="458"/>
      <c r="O116" s="458"/>
      <c r="P116" s="458"/>
      <c r="Q116" s="458"/>
      <c r="R116" s="458"/>
      <c r="S116" s="458"/>
      <c r="T116" s="458"/>
      <c r="U116" s="458"/>
      <c r="V116" s="458"/>
      <c r="W116" s="458"/>
    </row>
    <row r="117" spans="1:23" ht="15.75" customHeight="1">
      <c r="A117" s="458"/>
      <c r="B117" s="458"/>
      <c r="C117" s="458"/>
      <c r="D117" s="458"/>
      <c r="E117" s="458"/>
      <c r="F117" s="458"/>
      <c r="G117" s="458"/>
      <c r="H117" s="458"/>
      <c r="I117" s="458"/>
      <c r="J117" s="458"/>
      <c r="K117" s="458"/>
      <c r="L117" s="458"/>
      <c r="M117" s="458"/>
      <c r="N117" s="458"/>
      <c r="O117" s="458"/>
      <c r="P117" s="458"/>
      <c r="Q117" s="458"/>
      <c r="R117" s="458"/>
      <c r="S117" s="458"/>
      <c r="T117" s="458"/>
      <c r="U117" s="458"/>
      <c r="V117" s="458"/>
      <c r="W117" s="458"/>
    </row>
    <row r="118" spans="1:23" ht="15.75" customHeight="1">
      <c r="A118" s="458"/>
      <c r="B118" s="458"/>
      <c r="C118" s="458"/>
      <c r="D118" s="458"/>
      <c r="E118" s="458"/>
      <c r="F118" s="458"/>
      <c r="G118" s="458"/>
      <c r="H118" s="458"/>
      <c r="I118" s="458"/>
      <c r="J118" s="458"/>
      <c r="K118" s="458"/>
      <c r="L118" s="458"/>
      <c r="M118" s="458"/>
      <c r="N118" s="458"/>
      <c r="O118" s="458"/>
      <c r="P118" s="458"/>
      <c r="Q118" s="458"/>
      <c r="R118" s="458"/>
      <c r="S118" s="458"/>
      <c r="T118" s="458"/>
      <c r="U118" s="458"/>
      <c r="V118" s="458"/>
      <c r="W118" s="458"/>
    </row>
    <row r="119" spans="1:23" ht="15.75" customHeight="1">
      <c r="A119" s="458"/>
      <c r="B119" s="458"/>
      <c r="C119" s="458"/>
      <c r="D119" s="458"/>
      <c r="E119" s="458"/>
      <c r="F119" s="458"/>
      <c r="G119" s="458"/>
      <c r="H119" s="458"/>
      <c r="I119" s="458"/>
      <c r="J119" s="458"/>
      <c r="K119" s="458"/>
      <c r="L119" s="458"/>
      <c r="M119" s="458"/>
      <c r="N119" s="458"/>
      <c r="O119" s="458"/>
      <c r="P119" s="458"/>
      <c r="Q119" s="458"/>
      <c r="R119" s="458"/>
      <c r="S119" s="458"/>
      <c r="T119" s="458"/>
      <c r="U119" s="458"/>
      <c r="V119" s="458"/>
      <c r="W119" s="458"/>
    </row>
    <row r="120" spans="1:23" ht="15.75" customHeight="1">
      <c r="A120" s="458"/>
      <c r="B120" s="458"/>
      <c r="C120" s="458"/>
      <c r="D120" s="458"/>
      <c r="E120" s="458"/>
      <c r="F120" s="458"/>
      <c r="G120" s="458"/>
      <c r="H120" s="458"/>
      <c r="I120" s="458"/>
      <c r="J120" s="458"/>
      <c r="K120" s="458"/>
      <c r="L120" s="458"/>
      <c r="M120" s="458"/>
      <c r="N120" s="458"/>
      <c r="O120" s="458"/>
      <c r="P120" s="458"/>
      <c r="Q120" s="458"/>
      <c r="R120" s="458"/>
      <c r="S120" s="458"/>
      <c r="T120" s="458"/>
      <c r="U120" s="458"/>
      <c r="V120" s="458"/>
      <c r="W120" s="458"/>
    </row>
    <row r="121" spans="1:23" ht="15.75" customHeight="1">
      <c r="A121" s="458"/>
      <c r="B121" s="458"/>
      <c r="C121" s="458"/>
      <c r="D121" s="458"/>
      <c r="E121" s="458"/>
      <c r="F121" s="458"/>
      <c r="G121" s="458"/>
      <c r="H121" s="458"/>
      <c r="I121" s="458"/>
      <c r="J121" s="458"/>
      <c r="K121" s="458"/>
      <c r="L121" s="458"/>
      <c r="M121" s="458"/>
      <c r="N121" s="458"/>
      <c r="O121" s="458"/>
      <c r="P121" s="458"/>
      <c r="Q121" s="458"/>
      <c r="R121" s="458"/>
      <c r="S121" s="458"/>
      <c r="T121" s="458"/>
      <c r="U121" s="458"/>
      <c r="V121" s="458"/>
      <c r="W121" s="458"/>
    </row>
    <row r="122" spans="1:23" ht="15.75" customHeight="1">
      <c r="A122" s="458"/>
      <c r="B122" s="458"/>
      <c r="C122" s="458"/>
      <c r="D122" s="458"/>
      <c r="E122" s="458"/>
      <c r="F122" s="458"/>
      <c r="G122" s="458"/>
      <c r="H122" s="458"/>
      <c r="I122" s="458"/>
      <c r="J122" s="458"/>
      <c r="K122" s="458"/>
      <c r="L122" s="458"/>
      <c r="M122" s="458"/>
      <c r="N122" s="458"/>
      <c r="O122" s="458"/>
      <c r="P122" s="458"/>
      <c r="Q122" s="458"/>
      <c r="R122" s="458"/>
      <c r="S122" s="458"/>
      <c r="T122" s="458"/>
      <c r="U122" s="458"/>
      <c r="V122" s="458"/>
      <c r="W122" s="458"/>
    </row>
    <row r="123" spans="1:23" ht="15.75" customHeight="1">
      <c r="A123" s="458"/>
      <c r="B123" s="458"/>
      <c r="C123" s="458"/>
      <c r="D123" s="458"/>
      <c r="E123" s="458"/>
      <c r="F123" s="458"/>
      <c r="G123" s="458"/>
      <c r="H123" s="458"/>
      <c r="I123" s="458"/>
      <c r="J123" s="458"/>
      <c r="K123" s="458"/>
      <c r="L123" s="458"/>
      <c r="M123" s="458"/>
      <c r="N123" s="458"/>
      <c r="O123" s="458"/>
      <c r="P123" s="458"/>
      <c r="Q123" s="458"/>
      <c r="R123" s="458"/>
      <c r="S123" s="458"/>
      <c r="T123" s="458"/>
      <c r="U123" s="458"/>
      <c r="V123" s="458"/>
      <c r="W123" s="458"/>
    </row>
    <row r="124" spans="1:23" ht="15.75" customHeight="1">
      <c r="A124" s="458"/>
      <c r="B124" s="458"/>
      <c r="C124" s="458"/>
      <c r="D124" s="458"/>
      <c r="E124" s="458"/>
      <c r="F124" s="458"/>
      <c r="G124" s="458"/>
      <c r="H124" s="458"/>
      <c r="I124" s="458"/>
      <c r="J124" s="458"/>
      <c r="K124" s="458"/>
      <c r="L124" s="458"/>
      <c r="M124" s="458"/>
      <c r="N124" s="458"/>
      <c r="O124" s="458"/>
      <c r="P124" s="458"/>
      <c r="Q124" s="458"/>
      <c r="R124" s="458"/>
      <c r="S124" s="458"/>
      <c r="T124" s="458"/>
      <c r="U124" s="458"/>
      <c r="V124" s="458"/>
      <c r="W124" s="458"/>
    </row>
    <row r="125" spans="1:23" ht="15.75" customHeight="1">
      <c r="A125" s="458"/>
      <c r="B125" s="458"/>
      <c r="C125" s="458"/>
      <c r="D125" s="458"/>
      <c r="E125" s="458"/>
      <c r="F125" s="458"/>
      <c r="G125" s="458"/>
      <c r="H125" s="458"/>
      <c r="I125" s="458"/>
      <c r="J125" s="458"/>
      <c r="K125" s="458"/>
      <c r="L125" s="458"/>
      <c r="M125" s="458"/>
      <c r="N125" s="458"/>
      <c r="O125" s="458"/>
      <c r="P125" s="458"/>
      <c r="Q125" s="458"/>
      <c r="R125" s="458"/>
      <c r="S125" s="458"/>
      <c r="T125" s="458"/>
      <c r="U125" s="458"/>
      <c r="V125" s="458"/>
      <c r="W125" s="458"/>
    </row>
    <row r="126" spans="1:23" ht="15.75" customHeight="1">
      <c r="A126" s="458"/>
      <c r="B126" s="458"/>
      <c r="C126" s="458"/>
      <c r="D126" s="458"/>
      <c r="E126" s="458"/>
      <c r="F126" s="458"/>
      <c r="G126" s="458"/>
      <c r="H126" s="458"/>
      <c r="I126" s="458"/>
      <c r="J126" s="458"/>
      <c r="K126" s="458"/>
      <c r="L126" s="458"/>
      <c r="M126" s="458"/>
      <c r="N126" s="458"/>
      <c r="O126" s="458"/>
      <c r="P126" s="458"/>
      <c r="Q126" s="458"/>
      <c r="R126" s="458"/>
      <c r="S126" s="458"/>
      <c r="T126" s="458"/>
      <c r="U126" s="458"/>
      <c r="V126" s="458"/>
      <c r="W126" s="458"/>
    </row>
    <row r="127" spans="1:23" ht="15.75" customHeight="1">
      <c r="A127" s="458"/>
      <c r="B127" s="458"/>
      <c r="C127" s="458"/>
      <c r="D127" s="458"/>
      <c r="E127" s="458"/>
      <c r="F127" s="458"/>
      <c r="G127" s="458"/>
      <c r="H127" s="458"/>
      <c r="I127" s="458"/>
      <c r="J127" s="458"/>
      <c r="K127" s="458"/>
      <c r="L127" s="458"/>
      <c r="M127" s="458"/>
      <c r="N127" s="458"/>
      <c r="O127" s="458"/>
      <c r="P127" s="458"/>
      <c r="Q127" s="458"/>
      <c r="R127" s="458"/>
      <c r="S127" s="458"/>
      <c r="T127" s="458"/>
      <c r="U127" s="458"/>
      <c r="V127" s="458"/>
      <c r="W127" s="458"/>
    </row>
    <row r="128" spans="1:23" ht="15.75" customHeight="1">
      <c r="A128" s="458"/>
      <c r="B128" s="458"/>
      <c r="C128" s="458"/>
      <c r="D128" s="458"/>
      <c r="E128" s="458"/>
      <c r="F128" s="458"/>
      <c r="G128" s="458"/>
      <c r="H128" s="458"/>
      <c r="I128" s="458"/>
      <c r="J128" s="458"/>
      <c r="K128" s="458"/>
      <c r="L128" s="458"/>
      <c r="M128" s="458"/>
      <c r="N128" s="458"/>
      <c r="O128" s="458"/>
      <c r="P128" s="458"/>
      <c r="Q128" s="458"/>
      <c r="R128" s="458"/>
      <c r="S128" s="458"/>
      <c r="T128" s="458"/>
      <c r="U128" s="458"/>
      <c r="V128" s="458"/>
      <c r="W128" s="458"/>
    </row>
    <row r="129" spans="1:23" ht="15.75" customHeight="1">
      <c r="A129" s="458"/>
      <c r="B129" s="458"/>
      <c r="C129" s="458"/>
      <c r="D129" s="458"/>
      <c r="E129" s="458"/>
      <c r="F129" s="458"/>
      <c r="G129" s="458"/>
      <c r="H129" s="458"/>
      <c r="I129" s="458"/>
      <c r="J129" s="458"/>
      <c r="K129" s="458"/>
      <c r="L129" s="458"/>
      <c r="M129" s="458"/>
      <c r="N129" s="458"/>
      <c r="O129" s="458"/>
      <c r="P129" s="458"/>
      <c r="Q129" s="458"/>
      <c r="R129" s="458"/>
      <c r="S129" s="458"/>
      <c r="T129" s="458"/>
      <c r="U129" s="458"/>
      <c r="V129" s="458"/>
      <c r="W129" s="458"/>
    </row>
    <row r="130" spans="1:23" ht="15.75" customHeight="1">
      <c r="A130" s="458"/>
      <c r="B130" s="458"/>
      <c r="C130" s="458"/>
      <c r="D130" s="458"/>
      <c r="E130" s="458"/>
      <c r="F130" s="458"/>
      <c r="G130" s="458"/>
      <c r="H130" s="458"/>
      <c r="I130" s="458"/>
      <c r="J130" s="458"/>
      <c r="K130" s="458"/>
      <c r="L130" s="458"/>
      <c r="M130" s="458"/>
      <c r="N130" s="458"/>
      <c r="O130" s="458"/>
      <c r="P130" s="458"/>
      <c r="Q130" s="458"/>
      <c r="R130" s="458"/>
      <c r="S130" s="458"/>
      <c r="T130" s="458"/>
      <c r="U130" s="458"/>
      <c r="V130" s="458"/>
      <c r="W130" s="458"/>
    </row>
    <row r="131" spans="1:23" ht="15.75" customHeight="1">
      <c r="A131" s="458"/>
      <c r="B131" s="458"/>
      <c r="C131" s="458"/>
      <c r="D131" s="458"/>
      <c r="E131" s="458"/>
      <c r="F131" s="458"/>
      <c r="G131" s="458"/>
      <c r="H131" s="458"/>
      <c r="I131" s="458"/>
      <c r="J131" s="458"/>
      <c r="K131" s="458"/>
      <c r="L131" s="458"/>
      <c r="M131" s="458"/>
      <c r="N131" s="458"/>
      <c r="O131" s="458"/>
      <c r="P131" s="458"/>
      <c r="Q131" s="458"/>
      <c r="R131" s="458"/>
      <c r="S131" s="458"/>
      <c r="T131" s="458"/>
      <c r="U131" s="458"/>
      <c r="V131" s="458"/>
      <c r="W131" s="458"/>
    </row>
    <row r="132" spans="1:23" ht="15.75" customHeight="1">
      <c r="A132" s="458"/>
      <c r="B132" s="458"/>
      <c r="C132" s="458"/>
      <c r="D132" s="458"/>
      <c r="E132" s="458"/>
      <c r="F132" s="458"/>
      <c r="G132" s="458"/>
      <c r="H132" s="458"/>
      <c r="I132" s="458"/>
      <c r="J132" s="458"/>
      <c r="K132" s="458"/>
      <c r="L132" s="458"/>
      <c r="M132" s="458"/>
      <c r="N132" s="458"/>
      <c r="O132" s="458"/>
      <c r="P132" s="458"/>
      <c r="Q132" s="458"/>
      <c r="R132" s="458"/>
      <c r="S132" s="458"/>
      <c r="T132" s="458"/>
      <c r="U132" s="458"/>
      <c r="V132" s="458"/>
      <c r="W132" s="458"/>
    </row>
    <row r="133" spans="1:23" ht="15.75" customHeight="1">
      <c r="A133" s="458"/>
      <c r="B133" s="458"/>
      <c r="C133" s="458"/>
      <c r="D133" s="458"/>
      <c r="E133" s="458"/>
      <c r="F133" s="458"/>
      <c r="G133" s="458"/>
      <c r="H133" s="458"/>
      <c r="I133" s="458"/>
      <c r="J133" s="458"/>
      <c r="K133" s="458"/>
      <c r="L133" s="458"/>
      <c r="M133" s="458"/>
      <c r="N133" s="458"/>
      <c r="O133" s="458"/>
      <c r="P133" s="458"/>
      <c r="Q133" s="458"/>
      <c r="R133" s="458"/>
      <c r="S133" s="458"/>
      <c r="T133" s="458"/>
      <c r="U133" s="458"/>
      <c r="V133" s="458"/>
      <c r="W133" s="458"/>
    </row>
    <row r="134" spans="1:23" ht="15.75" customHeight="1">
      <c r="A134" s="458"/>
      <c r="B134" s="458"/>
      <c r="C134" s="458"/>
      <c r="D134" s="458"/>
      <c r="E134" s="458"/>
      <c r="F134" s="458"/>
      <c r="G134" s="458"/>
      <c r="H134" s="458"/>
      <c r="I134" s="458"/>
      <c r="J134" s="458"/>
      <c r="K134" s="458"/>
      <c r="L134" s="458"/>
      <c r="M134" s="458"/>
      <c r="N134" s="458"/>
      <c r="O134" s="458"/>
      <c r="P134" s="458"/>
      <c r="Q134" s="458"/>
      <c r="R134" s="458"/>
      <c r="S134" s="458"/>
      <c r="T134" s="458"/>
      <c r="U134" s="458"/>
      <c r="V134" s="458"/>
      <c r="W134" s="458"/>
    </row>
    <row r="135" spans="1:23" ht="15.75" customHeight="1">
      <c r="A135" s="458"/>
      <c r="B135" s="458"/>
      <c r="C135" s="458"/>
      <c r="D135" s="458"/>
      <c r="E135" s="458"/>
      <c r="F135" s="458"/>
      <c r="G135" s="458"/>
      <c r="H135" s="458"/>
      <c r="I135" s="458"/>
      <c r="J135" s="458"/>
      <c r="K135" s="458"/>
      <c r="L135" s="458"/>
      <c r="M135" s="458"/>
      <c r="N135" s="458"/>
      <c r="O135" s="458"/>
      <c r="P135" s="458"/>
      <c r="Q135" s="458"/>
      <c r="R135" s="458"/>
      <c r="S135" s="458"/>
      <c r="T135" s="458"/>
      <c r="U135" s="458"/>
      <c r="V135" s="458"/>
      <c r="W135" s="458"/>
    </row>
    <row r="136" spans="1:23" ht="15.75" customHeight="1">
      <c r="A136" s="458"/>
      <c r="B136" s="458"/>
      <c r="C136" s="458"/>
      <c r="D136" s="458"/>
      <c r="E136" s="458"/>
      <c r="F136" s="458"/>
      <c r="G136" s="458"/>
      <c r="H136" s="458"/>
      <c r="I136" s="458"/>
      <c r="J136" s="458"/>
      <c r="K136" s="458"/>
      <c r="L136" s="458"/>
      <c r="M136" s="458"/>
      <c r="N136" s="458"/>
      <c r="O136" s="458"/>
      <c r="P136" s="458"/>
      <c r="Q136" s="458"/>
      <c r="R136" s="458"/>
      <c r="S136" s="458"/>
      <c r="T136" s="458"/>
      <c r="U136" s="458"/>
      <c r="V136" s="458"/>
      <c r="W136" s="458"/>
    </row>
    <row r="137" spans="1:23" ht="15.75" customHeight="1">
      <c r="A137" s="458"/>
      <c r="B137" s="458"/>
      <c r="C137" s="458"/>
      <c r="D137" s="458"/>
      <c r="E137" s="458"/>
      <c r="F137" s="458"/>
      <c r="G137" s="458"/>
      <c r="H137" s="458"/>
      <c r="I137" s="458"/>
      <c r="J137" s="458"/>
      <c r="K137" s="458"/>
      <c r="L137" s="458"/>
      <c r="M137" s="458"/>
      <c r="N137" s="458"/>
      <c r="O137" s="458"/>
      <c r="P137" s="458"/>
      <c r="Q137" s="458"/>
      <c r="R137" s="458"/>
      <c r="S137" s="458"/>
      <c r="T137" s="458"/>
      <c r="U137" s="458"/>
      <c r="V137" s="458"/>
      <c r="W137" s="458"/>
    </row>
    <row r="138" spans="1:23" ht="15.75" customHeight="1">
      <c r="A138" s="458"/>
      <c r="B138" s="458"/>
      <c r="C138" s="458"/>
      <c r="D138" s="458"/>
      <c r="E138" s="458"/>
      <c r="F138" s="458"/>
      <c r="G138" s="458"/>
      <c r="H138" s="458"/>
      <c r="I138" s="458"/>
      <c r="J138" s="458"/>
      <c r="K138" s="458"/>
      <c r="L138" s="458"/>
      <c r="M138" s="458"/>
      <c r="N138" s="458"/>
      <c r="O138" s="458"/>
      <c r="P138" s="458"/>
      <c r="Q138" s="458"/>
      <c r="R138" s="458"/>
      <c r="S138" s="458"/>
      <c r="T138" s="458"/>
      <c r="U138" s="458"/>
      <c r="V138" s="458"/>
      <c r="W138" s="458"/>
    </row>
    <row r="139" spans="1:23" ht="15.75" customHeight="1">
      <c r="A139" s="458"/>
      <c r="B139" s="458"/>
      <c r="C139" s="458"/>
      <c r="D139" s="458"/>
      <c r="E139" s="458"/>
      <c r="F139" s="458"/>
      <c r="G139" s="458"/>
      <c r="H139" s="458"/>
      <c r="I139" s="458"/>
      <c r="J139" s="458"/>
      <c r="K139" s="458"/>
      <c r="L139" s="458"/>
      <c r="M139" s="458"/>
      <c r="N139" s="458"/>
      <c r="O139" s="458"/>
      <c r="P139" s="458"/>
      <c r="Q139" s="458"/>
      <c r="R139" s="458"/>
      <c r="S139" s="458"/>
      <c r="T139" s="458"/>
      <c r="U139" s="458"/>
      <c r="V139" s="458"/>
      <c r="W139" s="458"/>
    </row>
    <row r="140" spans="1:23" ht="15.75" customHeight="1">
      <c r="A140" s="458"/>
      <c r="B140" s="458"/>
      <c r="C140" s="458"/>
      <c r="D140" s="458"/>
      <c r="E140" s="458"/>
      <c r="F140" s="458"/>
      <c r="G140" s="458"/>
      <c r="H140" s="458"/>
      <c r="I140" s="458"/>
      <c r="J140" s="458"/>
      <c r="K140" s="458"/>
      <c r="L140" s="458"/>
      <c r="M140" s="458"/>
      <c r="N140" s="458"/>
      <c r="O140" s="458"/>
      <c r="P140" s="458"/>
      <c r="Q140" s="458"/>
      <c r="R140" s="458"/>
      <c r="S140" s="458"/>
      <c r="T140" s="458"/>
      <c r="U140" s="458"/>
      <c r="V140" s="458"/>
      <c r="W140" s="458"/>
    </row>
    <row r="141" spans="1:23" ht="15.75" customHeight="1">
      <c r="A141" s="458"/>
      <c r="B141" s="458"/>
      <c r="C141" s="458"/>
      <c r="D141" s="458"/>
      <c r="E141" s="458"/>
      <c r="F141" s="458"/>
      <c r="G141" s="458"/>
      <c r="H141" s="458"/>
      <c r="I141" s="458"/>
      <c r="J141" s="458"/>
      <c r="K141" s="458"/>
      <c r="L141" s="458"/>
      <c r="M141" s="458"/>
      <c r="N141" s="458"/>
      <c r="O141" s="458"/>
      <c r="P141" s="458"/>
      <c r="Q141" s="458"/>
      <c r="R141" s="458"/>
      <c r="S141" s="458"/>
      <c r="T141" s="458"/>
      <c r="U141" s="458"/>
      <c r="V141" s="458"/>
      <c r="W141" s="458"/>
    </row>
    <row r="142" spans="1:23" ht="15.75" customHeight="1">
      <c r="A142" s="458"/>
      <c r="B142" s="458"/>
      <c r="C142" s="458"/>
      <c r="D142" s="458"/>
      <c r="E142" s="458"/>
      <c r="F142" s="458"/>
      <c r="G142" s="458"/>
      <c r="H142" s="458"/>
      <c r="I142" s="458"/>
      <c r="J142" s="458"/>
      <c r="K142" s="458"/>
      <c r="L142" s="458"/>
      <c r="M142" s="458"/>
      <c r="N142" s="458"/>
      <c r="O142" s="458"/>
      <c r="P142" s="458"/>
      <c r="Q142" s="458"/>
      <c r="R142" s="458"/>
      <c r="S142" s="458"/>
      <c r="T142" s="458"/>
      <c r="U142" s="458"/>
      <c r="V142" s="458"/>
      <c r="W142" s="458"/>
    </row>
    <row r="143" spans="1:23" ht="15.75" customHeight="1">
      <c r="A143" s="458"/>
      <c r="B143" s="458"/>
      <c r="C143" s="458"/>
      <c r="D143" s="458"/>
      <c r="E143" s="458"/>
      <c r="F143" s="458"/>
      <c r="G143" s="458"/>
      <c r="H143" s="458"/>
      <c r="I143" s="458"/>
      <c r="J143" s="458"/>
      <c r="K143" s="458"/>
      <c r="L143" s="458"/>
      <c r="M143" s="458"/>
      <c r="N143" s="458"/>
      <c r="O143" s="458"/>
      <c r="P143" s="458"/>
      <c r="Q143" s="458"/>
      <c r="R143" s="458"/>
      <c r="S143" s="458"/>
      <c r="T143" s="458"/>
      <c r="U143" s="458"/>
      <c r="V143" s="458"/>
      <c r="W143" s="458"/>
    </row>
    <row r="144" spans="1:23" ht="15.75" customHeight="1">
      <c r="A144" s="458"/>
      <c r="B144" s="458"/>
      <c r="C144" s="458"/>
      <c r="D144" s="458"/>
      <c r="E144" s="458"/>
      <c r="F144" s="458"/>
      <c r="G144" s="458"/>
      <c r="H144" s="458"/>
      <c r="I144" s="458"/>
      <c r="J144" s="458"/>
      <c r="K144" s="458"/>
      <c r="L144" s="458"/>
      <c r="M144" s="458"/>
      <c r="N144" s="458"/>
      <c r="O144" s="458"/>
      <c r="P144" s="458"/>
      <c r="Q144" s="458"/>
      <c r="R144" s="458"/>
      <c r="S144" s="458"/>
      <c r="T144" s="458"/>
      <c r="U144" s="458"/>
      <c r="V144" s="458"/>
      <c r="W144" s="458"/>
    </row>
    <row r="145" spans="1:23" ht="15.75" customHeight="1">
      <c r="A145" s="458"/>
      <c r="B145" s="458"/>
      <c r="C145" s="458"/>
      <c r="D145" s="458"/>
      <c r="E145" s="458"/>
      <c r="F145" s="458"/>
      <c r="G145" s="458"/>
      <c r="H145" s="458"/>
      <c r="I145" s="458"/>
      <c r="J145" s="458"/>
      <c r="K145" s="458"/>
      <c r="L145" s="458"/>
      <c r="M145" s="458"/>
      <c r="N145" s="458"/>
      <c r="O145" s="458"/>
      <c r="P145" s="458"/>
      <c r="Q145" s="458"/>
      <c r="R145" s="458"/>
      <c r="S145" s="458"/>
      <c r="T145" s="458"/>
      <c r="U145" s="458"/>
      <c r="V145" s="458"/>
      <c r="W145" s="458"/>
    </row>
    <row r="146" spans="1:23" ht="15.75" customHeight="1">
      <c r="A146" s="458"/>
      <c r="B146" s="458"/>
      <c r="C146" s="458"/>
      <c r="D146" s="458"/>
      <c r="E146" s="458"/>
      <c r="F146" s="458"/>
      <c r="G146" s="458"/>
      <c r="H146" s="458"/>
      <c r="I146" s="458"/>
      <c r="J146" s="458"/>
      <c r="K146" s="458"/>
      <c r="L146" s="458"/>
      <c r="M146" s="458"/>
      <c r="N146" s="458"/>
      <c r="O146" s="458"/>
      <c r="P146" s="458"/>
      <c r="Q146" s="458"/>
      <c r="R146" s="458"/>
      <c r="S146" s="458"/>
      <c r="T146" s="458"/>
      <c r="U146" s="458"/>
      <c r="V146" s="458"/>
      <c r="W146" s="458"/>
    </row>
    <row r="147" spans="1:23" ht="15.75" customHeight="1">
      <c r="A147" s="458"/>
      <c r="B147" s="458"/>
      <c r="C147" s="458"/>
      <c r="D147" s="458"/>
      <c r="E147" s="458"/>
      <c r="F147" s="458"/>
      <c r="G147" s="458"/>
      <c r="H147" s="458"/>
      <c r="I147" s="458"/>
      <c r="J147" s="458"/>
      <c r="K147" s="458"/>
      <c r="L147" s="458"/>
      <c r="M147" s="458"/>
      <c r="N147" s="458"/>
      <c r="O147" s="458"/>
      <c r="P147" s="458"/>
      <c r="Q147" s="458"/>
      <c r="R147" s="458"/>
      <c r="S147" s="458"/>
      <c r="T147" s="458"/>
      <c r="U147" s="458"/>
      <c r="V147" s="458"/>
      <c r="W147" s="458"/>
    </row>
    <row r="148" spans="1:23" ht="15.75" customHeight="1">
      <c r="A148" s="458"/>
      <c r="B148" s="458"/>
      <c r="C148" s="458"/>
      <c r="D148" s="458"/>
      <c r="E148" s="458"/>
      <c r="F148" s="458"/>
      <c r="G148" s="458"/>
      <c r="H148" s="458"/>
      <c r="I148" s="458"/>
      <c r="J148" s="458"/>
      <c r="K148" s="458"/>
      <c r="L148" s="458"/>
      <c r="M148" s="458"/>
      <c r="N148" s="458"/>
      <c r="O148" s="458"/>
      <c r="P148" s="458"/>
      <c r="Q148" s="458"/>
      <c r="R148" s="458"/>
      <c r="S148" s="458"/>
      <c r="T148" s="458"/>
      <c r="U148" s="458"/>
      <c r="V148" s="458"/>
      <c r="W148" s="458"/>
    </row>
    <row r="149" spans="1:23" ht="15.75" customHeight="1">
      <c r="A149" s="458"/>
      <c r="B149" s="458"/>
      <c r="C149" s="458"/>
      <c r="D149" s="458"/>
      <c r="E149" s="458"/>
      <c r="F149" s="458"/>
      <c r="G149" s="458"/>
      <c r="H149" s="458"/>
      <c r="I149" s="458"/>
      <c r="J149" s="458"/>
      <c r="K149" s="458"/>
      <c r="L149" s="458"/>
      <c r="M149" s="458"/>
      <c r="N149" s="458"/>
      <c r="O149" s="458"/>
      <c r="P149" s="458"/>
      <c r="Q149" s="458"/>
      <c r="R149" s="458"/>
      <c r="S149" s="458"/>
      <c r="T149" s="458"/>
      <c r="U149" s="458"/>
      <c r="V149" s="458"/>
      <c r="W149" s="458"/>
    </row>
    <row r="150" spans="1:23" ht="15.75" customHeight="1">
      <c r="A150" s="458"/>
      <c r="B150" s="458"/>
      <c r="C150" s="458"/>
      <c r="D150" s="458"/>
      <c r="E150" s="458"/>
      <c r="F150" s="458"/>
      <c r="G150" s="458"/>
      <c r="H150" s="458"/>
      <c r="I150" s="458"/>
      <c r="J150" s="458"/>
      <c r="K150" s="458"/>
      <c r="L150" s="458"/>
      <c r="M150" s="458"/>
      <c r="N150" s="458"/>
      <c r="O150" s="458"/>
      <c r="P150" s="458"/>
      <c r="Q150" s="458"/>
      <c r="R150" s="458"/>
      <c r="S150" s="458"/>
      <c r="T150" s="458"/>
      <c r="U150" s="458"/>
      <c r="V150" s="458"/>
      <c r="W150" s="458"/>
    </row>
    <row r="151" spans="1:23" ht="15.75" customHeight="1">
      <c r="A151" s="458"/>
      <c r="B151" s="458"/>
      <c r="C151" s="458"/>
      <c r="D151" s="458"/>
      <c r="E151" s="458"/>
      <c r="F151" s="458"/>
      <c r="G151" s="458"/>
      <c r="H151" s="458"/>
      <c r="I151" s="458"/>
      <c r="J151" s="458"/>
      <c r="K151" s="458"/>
      <c r="L151" s="458"/>
      <c r="M151" s="458"/>
      <c r="N151" s="458"/>
      <c r="O151" s="458"/>
      <c r="P151" s="458"/>
      <c r="Q151" s="458"/>
      <c r="R151" s="458"/>
      <c r="S151" s="458"/>
      <c r="T151" s="458"/>
      <c r="U151" s="458"/>
      <c r="V151" s="458"/>
      <c r="W151" s="458"/>
    </row>
    <row r="152" spans="1:23" ht="15.75" customHeight="1">
      <c r="A152" s="458"/>
      <c r="B152" s="458"/>
      <c r="C152" s="458"/>
      <c r="D152" s="458"/>
      <c r="E152" s="458"/>
      <c r="F152" s="458"/>
      <c r="G152" s="458"/>
      <c r="H152" s="458"/>
      <c r="I152" s="458"/>
      <c r="J152" s="458"/>
      <c r="K152" s="458"/>
      <c r="L152" s="458"/>
      <c r="M152" s="458"/>
      <c r="N152" s="458"/>
      <c r="O152" s="458"/>
      <c r="P152" s="458"/>
      <c r="Q152" s="458"/>
      <c r="R152" s="458"/>
      <c r="S152" s="458"/>
      <c r="T152" s="458"/>
      <c r="U152" s="458"/>
      <c r="V152" s="458"/>
      <c r="W152" s="458"/>
    </row>
    <row r="153" spans="1:23" ht="15.75" customHeight="1">
      <c r="A153" s="458"/>
      <c r="B153" s="458"/>
      <c r="C153" s="458"/>
      <c r="D153" s="458"/>
      <c r="E153" s="458"/>
      <c r="F153" s="458"/>
      <c r="G153" s="458"/>
      <c r="H153" s="458"/>
      <c r="I153" s="458"/>
      <c r="J153" s="458"/>
      <c r="K153" s="458"/>
      <c r="L153" s="458"/>
      <c r="M153" s="458"/>
      <c r="N153" s="458"/>
      <c r="O153" s="458"/>
      <c r="P153" s="458"/>
      <c r="Q153" s="458"/>
      <c r="R153" s="458"/>
      <c r="S153" s="458"/>
      <c r="T153" s="458"/>
      <c r="U153" s="458"/>
      <c r="V153" s="458"/>
      <c r="W153" s="458"/>
    </row>
    <row r="154" spans="1:23" ht="15.75" customHeight="1">
      <c r="A154" s="458"/>
      <c r="B154" s="458"/>
      <c r="C154" s="458"/>
      <c r="D154" s="458"/>
      <c r="E154" s="458"/>
      <c r="F154" s="458"/>
      <c r="G154" s="458"/>
      <c r="H154" s="458"/>
      <c r="I154" s="458"/>
      <c r="J154" s="458"/>
      <c r="K154" s="458"/>
      <c r="L154" s="458"/>
      <c r="M154" s="458"/>
      <c r="N154" s="458"/>
      <c r="O154" s="458"/>
      <c r="P154" s="458"/>
      <c r="Q154" s="458"/>
      <c r="R154" s="458"/>
      <c r="S154" s="458"/>
      <c r="T154" s="458"/>
      <c r="U154" s="458"/>
      <c r="V154" s="458"/>
      <c r="W154" s="458"/>
    </row>
    <row r="155" spans="1:23" ht="15.75" customHeight="1">
      <c r="A155" s="458"/>
      <c r="B155" s="458"/>
      <c r="C155" s="458"/>
      <c r="D155" s="458"/>
      <c r="E155" s="458"/>
      <c r="F155" s="458"/>
      <c r="G155" s="458"/>
      <c r="H155" s="458"/>
      <c r="I155" s="458"/>
      <c r="J155" s="458"/>
      <c r="K155" s="458"/>
      <c r="L155" s="458"/>
      <c r="M155" s="458"/>
      <c r="N155" s="458"/>
      <c r="O155" s="458"/>
      <c r="P155" s="458"/>
      <c r="Q155" s="458"/>
      <c r="R155" s="458"/>
      <c r="S155" s="458"/>
      <c r="T155" s="458"/>
      <c r="U155" s="458"/>
      <c r="V155" s="458"/>
      <c r="W155" s="458"/>
    </row>
    <row r="156" spans="1:23" ht="15.75" customHeight="1">
      <c r="A156" s="458"/>
      <c r="B156" s="458"/>
      <c r="C156" s="458"/>
      <c r="D156" s="458"/>
      <c r="E156" s="458"/>
      <c r="F156" s="458"/>
      <c r="G156" s="458"/>
      <c r="H156" s="458"/>
      <c r="I156" s="458"/>
      <c r="J156" s="458"/>
      <c r="K156" s="458"/>
      <c r="L156" s="458"/>
      <c r="M156" s="458"/>
      <c r="N156" s="458"/>
      <c r="O156" s="458"/>
      <c r="P156" s="458"/>
      <c r="Q156" s="458"/>
      <c r="R156" s="458"/>
      <c r="S156" s="458"/>
      <c r="T156" s="458"/>
      <c r="U156" s="458"/>
      <c r="V156" s="458"/>
      <c r="W156" s="458"/>
    </row>
    <row r="157" spans="1:23" ht="15.75" customHeight="1">
      <c r="A157" s="458"/>
      <c r="B157" s="458"/>
      <c r="C157" s="458"/>
      <c r="D157" s="458"/>
      <c r="E157" s="458"/>
      <c r="F157" s="458"/>
      <c r="G157" s="458"/>
      <c r="H157" s="458"/>
      <c r="I157" s="458"/>
      <c r="J157" s="458"/>
      <c r="K157" s="458"/>
      <c r="L157" s="458"/>
      <c r="M157" s="458"/>
      <c r="N157" s="458"/>
      <c r="O157" s="458"/>
      <c r="P157" s="458"/>
      <c r="Q157" s="458"/>
      <c r="R157" s="458"/>
      <c r="S157" s="458"/>
      <c r="T157" s="458"/>
      <c r="U157" s="458"/>
      <c r="V157" s="458"/>
      <c r="W157" s="458"/>
    </row>
    <row r="158" spans="1:23" ht="15.75" customHeight="1">
      <c r="A158" s="458"/>
      <c r="B158" s="458"/>
      <c r="C158" s="458"/>
      <c r="D158" s="458"/>
      <c r="E158" s="458"/>
      <c r="F158" s="458"/>
      <c r="G158" s="458"/>
      <c r="H158" s="458"/>
      <c r="I158" s="458"/>
      <c r="J158" s="458"/>
      <c r="K158" s="458"/>
      <c r="L158" s="458"/>
      <c r="M158" s="458"/>
      <c r="N158" s="458"/>
      <c r="O158" s="458"/>
      <c r="P158" s="458"/>
      <c r="Q158" s="458"/>
      <c r="R158" s="458"/>
      <c r="S158" s="458"/>
      <c r="T158" s="458"/>
      <c r="U158" s="458"/>
      <c r="V158" s="458"/>
      <c r="W158" s="458"/>
    </row>
    <row r="159" spans="1:23" ht="15.75" customHeight="1">
      <c r="A159" s="458"/>
      <c r="B159" s="458"/>
      <c r="C159" s="458"/>
      <c r="D159" s="458"/>
      <c r="E159" s="458"/>
      <c r="F159" s="458"/>
      <c r="G159" s="458"/>
      <c r="H159" s="458"/>
      <c r="I159" s="458"/>
      <c r="J159" s="458"/>
      <c r="K159" s="458"/>
      <c r="L159" s="458"/>
      <c r="M159" s="458"/>
      <c r="N159" s="458"/>
      <c r="O159" s="458"/>
      <c r="P159" s="458"/>
      <c r="Q159" s="458"/>
      <c r="R159" s="458"/>
      <c r="S159" s="458"/>
      <c r="T159" s="458"/>
      <c r="U159" s="458"/>
      <c r="V159" s="458"/>
      <c r="W159" s="458"/>
    </row>
    <row r="160" spans="1:23" ht="15.75" customHeight="1">
      <c r="A160" s="458"/>
      <c r="B160" s="458"/>
      <c r="C160" s="458"/>
      <c r="D160" s="458"/>
      <c r="E160" s="458"/>
      <c r="F160" s="458"/>
      <c r="G160" s="458"/>
      <c r="H160" s="458"/>
      <c r="I160" s="458"/>
      <c r="J160" s="458"/>
      <c r="K160" s="458"/>
      <c r="L160" s="458"/>
      <c r="M160" s="458"/>
      <c r="N160" s="458"/>
      <c r="O160" s="458"/>
      <c r="P160" s="458"/>
      <c r="Q160" s="458"/>
      <c r="R160" s="458"/>
      <c r="S160" s="458"/>
      <c r="T160" s="458"/>
      <c r="U160" s="458"/>
      <c r="V160" s="458"/>
      <c r="W160" s="458"/>
    </row>
    <row r="161" spans="1:23" ht="15.75" customHeight="1">
      <c r="A161" s="458"/>
      <c r="B161" s="458"/>
      <c r="C161" s="458"/>
      <c r="D161" s="458"/>
      <c r="E161" s="458"/>
      <c r="F161" s="458"/>
      <c r="G161" s="458"/>
      <c r="H161" s="458"/>
      <c r="I161" s="458"/>
      <c r="J161" s="458"/>
      <c r="K161" s="458"/>
      <c r="L161" s="458"/>
      <c r="M161" s="458"/>
      <c r="N161" s="458"/>
      <c r="O161" s="458"/>
      <c r="P161" s="458"/>
      <c r="Q161" s="458"/>
      <c r="R161" s="458"/>
      <c r="S161" s="458"/>
      <c r="T161" s="458"/>
      <c r="U161" s="458"/>
      <c r="V161" s="458"/>
      <c r="W161" s="458"/>
    </row>
    <row r="162" spans="1:23" ht="15.75" customHeight="1">
      <c r="A162" s="458"/>
      <c r="B162" s="458"/>
      <c r="C162" s="458"/>
      <c r="D162" s="458"/>
      <c r="E162" s="458"/>
      <c r="F162" s="458"/>
      <c r="G162" s="458"/>
      <c r="H162" s="458"/>
      <c r="I162" s="458"/>
      <c r="J162" s="458"/>
      <c r="K162" s="458"/>
      <c r="L162" s="458"/>
      <c r="M162" s="458"/>
      <c r="N162" s="458"/>
      <c r="O162" s="458"/>
      <c r="P162" s="458"/>
      <c r="Q162" s="458"/>
      <c r="R162" s="458"/>
      <c r="S162" s="458"/>
      <c r="T162" s="458"/>
      <c r="U162" s="458"/>
      <c r="V162" s="458"/>
      <c r="W162" s="458"/>
    </row>
    <row r="163" spans="1:23" ht="15.75" customHeight="1">
      <c r="A163" s="458"/>
      <c r="B163" s="458"/>
      <c r="C163" s="458"/>
      <c r="D163" s="458"/>
      <c r="E163" s="458"/>
      <c r="F163" s="458"/>
      <c r="G163" s="458"/>
      <c r="H163" s="458"/>
      <c r="I163" s="458"/>
      <c r="J163" s="458"/>
      <c r="K163" s="458"/>
      <c r="L163" s="458"/>
      <c r="M163" s="458"/>
      <c r="N163" s="458"/>
      <c r="O163" s="458"/>
      <c r="P163" s="458"/>
      <c r="Q163" s="458"/>
      <c r="R163" s="458"/>
      <c r="S163" s="458"/>
      <c r="T163" s="458"/>
      <c r="U163" s="458"/>
      <c r="V163" s="458"/>
      <c r="W163" s="458"/>
    </row>
    <row r="164" spans="1:23" ht="15.75" customHeight="1">
      <c r="A164" s="458"/>
      <c r="B164" s="458"/>
      <c r="C164" s="458"/>
      <c r="D164" s="458"/>
      <c r="E164" s="458"/>
      <c r="F164" s="458"/>
      <c r="G164" s="458"/>
      <c r="H164" s="458"/>
      <c r="I164" s="458"/>
      <c r="J164" s="458"/>
      <c r="K164" s="458"/>
      <c r="L164" s="458"/>
      <c r="M164" s="458"/>
      <c r="N164" s="458"/>
      <c r="O164" s="458"/>
      <c r="P164" s="458"/>
      <c r="Q164" s="458"/>
      <c r="R164" s="458"/>
      <c r="S164" s="458"/>
      <c r="T164" s="458"/>
      <c r="U164" s="458"/>
      <c r="V164" s="458"/>
      <c r="W164" s="458"/>
    </row>
    <row r="165" spans="1:23" ht="15.75" customHeight="1">
      <c r="A165" s="458"/>
      <c r="B165" s="458"/>
      <c r="C165" s="458"/>
      <c r="D165" s="458"/>
      <c r="E165" s="458"/>
      <c r="F165" s="458"/>
      <c r="G165" s="458"/>
      <c r="H165" s="458"/>
      <c r="I165" s="458"/>
      <c r="J165" s="458"/>
      <c r="K165" s="458"/>
      <c r="L165" s="458"/>
      <c r="M165" s="458"/>
      <c r="N165" s="458"/>
      <c r="O165" s="458"/>
      <c r="P165" s="458"/>
      <c r="Q165" s="458"/>
      <c r="R165" s="458"/>
      <c r="S165" s="458"/>
      <c r="T165" s="458"/>
      <c r="U165" s="458"/>
      <c r="V165" s="458"/>
      <c r="W165" s="458"/>
    </row>
    <row r="166" spans="1:23" ht="15.75" customHeight="1">
      <c r="A166" s="458"/>
      <c r="B166" s="458"/>
      <c r="C166" s="458"/>
      <c r="D166" s="458"/>
      <c r="E166" s="458"/>
      <c r="F166" s="458"/>
      <c r="G166" s="458"/>
      <c r="H166" s="458"/>
      <c r="I166" s="458"/>
      <c r="J166" s="458"/>
      <c r="K166" s="458"/>
      <c r="L166" s="458"/>
      <c r="M166" s="458"/>
      <c r="N166" s="458"/>
      <c r="O166" s="458"/>
      <c r="P166" s="458"/>
      <c r="Q166" s="458"/>
      <c r="R166" s="458"/>
      <c r="S166" s="458"/>
      <c r="T166" s="458"/>
      <c r="U166" s="458"/>
      <c r="V166" s="458"/>
      <c r="W166" s="458"/>
    </row>
    <row r="167" spans="1:23" ht="15.75" customHeight="1">
      <c r="A167" s="458"/>
      <c r="B167" s="458"/>
      <c r="C167" s="458"/>
      <c r="D167" s="458"/>
      <c r="E167" s="458"/>
      <c r="F167" s="458"/>
      <c r="G167" s="458"/>
      <c r="H167" s="458"/>
      <c r="I167" s="458"/>
      <c r="J167" s="458"/>
      <c r="K167" s="458"/>
      <c r="L167" s="458"/>
      <c r="M167" s="458"/>
      <c r="N167" s="458"/>
      <c r="O167" s="458"/>
      <c r="P167" s="458"/>
      <c r="Q167" s="458"/>
      <c r="R167" s="458"/>
      <c r="S167" s="458"/>
      <c r="T167" s="458"/>
      <c r="U167" s="458"/>
      <c r="V167" s="458"/>
      <c r="W167" s="458"/>
    </row>
    <row r="168" spans="1:23" ht="15.75" customHeight="1">
      <c r="A168" s="458"/>
      <c r="B168" s="458"/>
      <c r="C168" s="458"/>
      <c r="D168" s="458"/>
      <c r="E168" s="458"/>
      <c r="F168" s="458"/>
      <c r="G168" s="458"/>
      <c r="H168" s="458"/>
      <c r="I168" s="458"/>
      <c r="J168" s="458"/>
      <c r="K168" s="458"/>
      <c r="L168" s="458"/>
      <c r="M168" s="458"/>
      <c r="N168" s="458"/>
      <c r="O168" s="458"/>
      <c r="P168" s="458"/>
      <c r="Q168" s="458"/>
      <c r="R168" s="458"/>
      <c r="S168" s="458"/>
      <c r="T168" s="458"/>
      <c r="U168" s="458"/>
      <c r="V168" s="458"/>
      <c r="W168" s="458"/>
    </row>
    <row r="169" spans="1:23" ht="15.75" customHeight="1">
      <c r="A169" s="458"/>
      <c r="B169" s="458"/>
      <c r="C169" s="458"/>
      <c r="D169" s="458"/>
      <c r="E169" s="458"/>
      <c r="F169" s="458"/>
      <c r="G169" s="458"/>
      <c r="H169" s="458"/>
      <c r="I169" s="458"/>
      <c r="J169" s="458"/>
      <c r="K169" s="458"/>
      <c r="L169" s="458"/>
      <c r="M169" s="458"/>
      <c r="N169" s="458"/>
      <c r="O169" s="458"/>
      <c r="P169" s="458"/>
      <c r="Q169" s="458"/>
      <c r="R169" s="458"/>
      <c r="S169" s="458"/>
      <c r="T169" s="458"/>
      <c r="U169" s="458"/>
      <c r="V169" s="458"/>
      <c r="W169" s="458"/>
    </row>
    <row r="170" spans="1:23" ht="15.75" customHeight="1">
      <c r="A170" s="458"/>
      <c r="B170" s="458"/>
      <c r="C170" s="458"/>
      <c r="D170" s="458"/>
      <c r="E170" s="458"/>
      <c r="F170" s="458"/>
      <c r="G170" s="458"/>
      <c r="H170" s="458"/>
      <c r="I170" s="458"/>
      <c r="J170" s="458"/>
      <c r="K170" s="458"/>
      <c r="L170" s="458"/>
      <c r="M170" s="458"/>
      <c r="N170" s="458"/>
      <c r="O170" s="458"/>
      <c r="P170" s="458"/>
      <c r="Q170" s="458"/>
      <c r="R170" s="458"/>
      <c r="S170" s="458"/>
      <c r="T170" s="458"/>
      <c r="U170" s="458"/>
      <c r="V170" s="458"/>
      <c r="W170" s="458"/>
    </row>
    <row r="171" spans="1:23" ht="15.75" customHeight="1">
      <c r="A171" s="458"/>
      <c r="B171" s="458"/>
      <c r="C171" s="458"/>
      <c r="D171" s="458"/>
      <c r="E171" s="458"/>
      <c r="F171" s="458"/>
      <c r="G171" s="458"/>
      <c r="H171" s="458"/>
      <c r="I171" s="458"/>
      <c r="J171" s="458"/>
      <c r="K171" s="458"/>
      <c r="L171" s="458"/>
      <c r="M171" s="458"/>
      <c r="N171" s="458"/>
      <c r="O171" s="458"/>
      <c r="P171" s="458"/>
      <c r="Q171" s="458"/>
      <c r="R171" s="458"/>
      <c r="S171" s="458"/>
      <c r="T171" s="458"/>
      <c r="U171" s="458"/>
      <c r="V171" s="458"/>
      <c r="W171" s="458"/>
    </row>
    <row r="172" spans="1:23" ht="15.75" customHeight="1">
      <c r="A172" s="458"/>
      <c r="B172" s="458"/>
      <c r="C172" s="458"/>
      <c r="D172" s="458"/>
      <c r="E172" s="458"/>
      <c r="F172" s="458"/>
      <c r="G172" s="458"/>
      <c r="H172" s="458"/>
      <c r="I172" s="458"/>
      <c r="J172" s="458"/>
      <c r="K172" s="458"/>
      <c r="L172" s="458"/>
      <c r="M172" s="458"/>
      <c r="N172" s="458"/>
      <c r="O172" s="458"/>
      <c r="P172" s="458"/>
      <c r="Q172" s="458"/>
      <c r="R172" s="458"/>
      <c r="S172" s="458"/>
      <c r="T172" s="458"/>
      <c r="U172" s="458"/>
      <c r="V172" s="458"/>
      <c r="W172" s="458"/>
    </row>
    <row r="173" spans="1:23" ht="15.75" customHeight="1">
      <c r="A173" s="458"/>
      <c r="B173" s="458"/>
      <c r="C173" s="458"/>
      <c r="D173" s="458"/>
      <c r="E173" s="458"/>
      <c r="F173" s="458"/>
      <c r="G173" s="458"/>
      <c r="H173" s="458"/>
      <c r="I173" s="458"/>
      <c r="J173" s="458"/>
      <c r="K173" s="458"/>
      <c r="L173" s="458"/>
      <c r="M173" s="458"/>
      <c r="N173" s="458"/>
      <c r="O173" s="458"/>
      <c r="P173" s="458"/>
      <c r="Q173" s="458"/>
      <c r="R173" s="458"/>
      <c r="S173" s="458"/>
      <c r="T173" s="458"/>
      <c r="U173" s="458"/>
      <c r="V173" s="458"/>
      <c r="W173" s="458"/>
    </row>
    <row r="174" spans="1:23" ht="15.75" customHeight="1">
      <c r="A174" s="458"/>
      <c r="B174" s="458"/>
      <c r="C174" s="458"/>
      <c r="D174" s="458"/>
      <c r="E174" s="458"/>
      <c r="F174" s="458"/>
      <c r="G174" s="458"/>
      <c r="H174" s="458"/>
      <c r="I174" s="458"/>
      <c r="J174" s="458"/>
      <c r="K174" s="458"/>
      <c r="L174" s="458"/>
      <c r="M174" s="458"/>
      <c r="N174" s="458"/>
      <c r="O174" s="458"/>
      <c r="P174" s="458"/>
      <c r="Q174" s="458"/>
      <c r="R174" s="458"/>
      <c r="S174" s="458"/>
      <c r="T174" s="458"/>
      <c r="U174" s="458"/>
      <c r="V174" s="458"/>
      <c r="W174" s="458"/>
    </row>
    <row r="175" spans="1:23" ht="15.75" customHeight="1">
      <c r="A175" s="458"/>
      <c r="B175" s="458"/>
      <c r="C175" s="458"/>
      <c r="D175" s="458"/>
      <c r="E175" s="458"/>
      <c r="F175" s="458"/>
      <c r="G175" s="458"/>
      <c r="H175" s="458"/>
      <c r="I175" s="458"/>
      <c r="J175" s="458"/>
      <c r="K175" s="458"/>
      <c r="L175" s="458"/>
      <c r="M175" s="458"/>
      <c r="N175" s="458"/>
      <c r="O175" s="458"/>
      <c r="P175" s="458"/>
      <c r="Q175" s="458"/>
      <c r="R175" s="458"/>
      <c r="S175" s="458"/>
      <c r="T175" s="458"/>
      <c r="U175" s="458"/>
      <c r="V175" s="458"/>
      <c r="W175" s="458"/>
    </row>
    <row r="176" spans="1:23" ht="15.75" customHeight="1">
      <c r="A176" s="458"/>
      <c r="B176" s="458"/>
      <c r="C176" s="458"/>
      <c r="D176" s="458"/>
      <c r="E176" s="458"/>
      <c r="F176" s="458"/>
      <c r="G176" s="458"/>
      <c r="H176" s="458"/>
      <c r="I176" s="458"/>
      <c r="J176" s="458"/>
      <c r="K176" s="458"/>
      <c r="L176" s="458"/>
      <c r="M176" s="458"/>
      <c r="N176" s="458"/>
      <c r="O176" s="458"/>
      <c r="P176" s="458"/>
      <c r="Q176" s="458"/>
      <c r="R176" s="458"/>
      <c r="S176" s="458"/>
      <c r="T176" s="458"/>
      <c r="U176" s="458"/>
      <c r="V176" s="458"/>
      <c r="W176" s="458"/>
    </row>
    <row r="177" spans="1:23" ht="15.75" customHeight="1">
      <c r="A177" s="458"/>
      <c r="B177" s="458"/>
      <c r="C177" s="458"/>
      <c r="D177" s="458"/>
      <c r="E177" s="458"/>
      <c r="F177" s="458"/>
      <c r="G177" s="458"/>
      <c r="H177" s="458"/>
      <c r="I177" s="458"/>
      <c r="J177" s="458"/>
      <c r="K177" s="458"/>
      <c r="L177" s="458"/>
      <c r="M177" s="458"/>
      <c r="N177" s="458"/>
      <c r="O177" s="458"/>
      <c r="P177" s="458"/>
      <c r="Q177" s="458"/>
      <c r="R177" s="458"/>
      <c r="S177" s="458"/>
      <c r="T177" s="458"/>
      <c r="U177" s="458"/>
      <c r="V177" s="458"/>
      <c r="W177" s="458"/>
    </row>
    <row r="178" spans="1:23" ht="15.75" customHeight="1">
      <c r="A178" s="458"/>
      <c r="B178" s="458"/>
      <c r="C178" s="458"/>
      <c r="D178" s="458"/>
      <c r="E178" s="458"/>
      <c r="F178" s="458"/>
      <c r="G178" s="458"/>
      <c r="H178" s="458"/>
      <c r="I178" s="458"/>
      <c r="J178" s="458"/>
      <c r="K178" s="458"/>
      <c r="L178" s="458"/>
      <c r="M178" s="458"/>
      <c r="N178" s="458"/>
      <c r="O178" s="458"/>
      <c r="P178" s="458"/>
      <c r="Q178" s="458"/>
      <c r="R178" s="458"/>
      <c r="S178" s="458"/>
      <c r="T178" s="458"/>
      <c r="U178" s="458"/>
      <c r="V178" s="458"/>
      <c r="W178" s="458"/>
    </row>
    <row r="179" spans="1:23" ht="15.75" customHeight="1">
      <c r="A179" s="458"/>
      <c r="B179" s="458"/>
      <c r="C179" s="458"/>
      <c r="D179" s="458"/>
      <c r="E179" s="458"/>
      <c r="F179" s="458"/>
      <c r="G179" s="458"/>
      <c r="H179" s="458"/>
      <c r="I179" s="458"/>
      <c r="J179" s="458"/>
      <c r="K179" s="458"/>
      <c r="L179" s="458"/>
      <c r="M179" s="458"/>
      <c r="N179" s="458"/>
      <c r="O179" s="458"/>
      <c r="P179" s="458"/>
      <c r="Q179" s="458"/>
      <c r="R179" s="458"/>
      <c r="S179" s="458"/>
      <c r="T179" s="458"/>
      <c r="U179" s="458"/>
      <c r="V179" s="458"/>
      <c r="W179" s="458"/>
    </row>
    <row r="180" spans="1:23" ht="15.75" customHeight="1">
      <c r="A180" s="458"/>
      <c r="B180" s="458"/>
      <c r="C180" s="458"/>
      <c r="D180" s="458"/>
      <c r="E180" s="458"/>
      <c r="F180" s="458"/>
      <c r="G180" s="458"/>
      <c r="H180" s="458"/>
      <c r="I180" s="458"/>
      <c r="J180" s="458"/>
      <c r="K180" s="458"/>
      <c r="L180" s="458"/>
      <c r="M180" s="458"/>
      <c r="N180" s="458"/>
      <c r="O180" s="458"/>
      <c r="P180" s="458"/>
      <c r="Q180" s="458"/>
      <c r="R180" s="458"/>
      <c r="S180" s="458"/>
      <c r="T180" s="458"/>
      <c r="U180" s="458"/>
      <c r="V180" s="458"/>
      <c r="W180" s="458"/>
    </row>
    <row r="181" spans="1:23" ht="15.75" customHeight="1">
      <c r="A181" s="458"/>
      <c r="B181" s="458"/>
      <c r="C181" s="458"/>
      <c r="D181" s="458"/>
      <c r="E181" s="458"/>
      <c r="F181" s="458"/>
      <c r="G181" s="458"/>
      <c r="H181" s="458"/>
      <c r="I181" s="458"/>
      <c r="J181" s="458"/>
      <c r="K181" s="458"/>
      <c r="L181" s="458"/>
      <c r="M181" s="458"/>
      <c r="N181" s="458"/>
      <c r="O181" s="458"/>
      <c r="P181" s="458"/>
      <c r="Q181" s="458"/>
      <c r="R181" s="458"/>
      <c r="S181" s="458"/>
      <c r="T181" s="458"/>
      <c r="U181" s="458"/>
      <c r="V181" s="458"/>
      <c r="W181" s="458"/>
    </row>
    <row r="182" spans="1:23" ht="15.75" customHeight="1">
      <c r="A182" s="458"/>
      <c r="B182" s="458"/>
      <c r="C182" s="458"/>
      <c r="D182" s="458"/>
      <c r="E182" s="458"/>
      <c r="F182" s="458"/>
      <c r="G182" s="458"/>
      <c r="H182" s="458"/>
      <c r="I182" s="458"/>
      <c r="J182" s="458"/>
      <c r="K182" s="458"/>
      <c r="L182" s="458"/>
      <c r="M182" s="458"/>
      <c r="N182" s="458"/>
      <c r="O182" s="458"/>
      <c r="P182" s="458"/>
      <c r="Q182" s="458"/>
      <c r="R182" s="458"/>
      <c r="S182" s="458"/>
      <c r="T182" s="458"/>
      <c r="U182" s="458"/>
      <c r="V182" s="458"/>
      <c r="W182" s="458"/>
    </row>
    <row r="183" spans="1:23" ht="15.75" customHeight="1">
      <c r="A183" s="458"/>
      <c r="B183" s="458"/>
      <c r="C183" s="458"/>
      <c r="D183" s="458"/>
      <c r="E183" s="458"/>
      <c r="F183" s="458"/>
      <c r="G183" s="458"/>
      <c r="H183" s="458"/>
      <c r="I183" s="458"/>
      <c r="J183" s="458"/>
      <c r="K183" s="458"/>
      <c r="L183" s="458"/>
      <c r="M183" s="458"/>
      <c r="N183" s="458"/>
      <c r="O183" s="458"/>
      <c r="P183" s="458"/>
      <c r="Q183" s="458"/>
      <c r="R183" s="458"/>
      <c r="S183" s="458"/>
      <c r="T183" s="458"/>
      <c r="U183" s="458"/>
      <c r="V183" s="458"/>
      <c r="W183" s="458"/>
    </row>
    <row r="184" spans="1:23" ht="15.75" customHeight="1">
      <c r="A184" s="458"/>
      <c r="B184" s="458"/>
      <c r="C184" s="458"/>
      <c r="D184" s="458"/>
      <c r="E184" s="458"/>
      <c r="F184" s="458"/>
      <c r="G184" s="458"/>
      <c r="H184" s="458"/>
      <c r="I184" s="458"/>
      <c r="J184" s="458"/>
      <c r="K184" s="458"/>
      <c r="L184" s="458"/>
      <c r="M184" s="458"/>
      <c r="N184" s="458"/>
      <c r="O184" s="458"/>
      <c r="P184" s="458"/>
      <c r="Q184" s="458"/>
      <c r="R184" s="458"/>
      <c r="S184" s="458"/>
      <c r="T184" s="458"/>
      <c r="U184" s="458"/>
      <c r="V184" s="458"/>
      <c r="W184" s="458"/>
    </row>
    <row r="185" spans="1:23" ht="15.75" customHeight="1">
      <c r="A185" s="458"/>
      <c r="B185" s="458"/>
      <c r="C185" s="458"/>
      <c r="D185" s="458"/>
      <c r="E185" s="458"/>
      <c r="F185" s="458"/>
      <c r="G185" s="458"/>
      <c r="H185" s="458"/>
      <c r="I185" s="458"/>
      <c r="J185" s="458"/>
      <c r="K185" s="458"/>
      <c r="L185" s="458"/>
      <c r="M185" s="458"/>
      <c r="N185" s="458"/>
      <c r="O185" s="458"/>
      <c r="P185" s="458"/>
      <c r="Q185" s="458"/>
      <c r="R185" s="458"/>
      <c r="S185" s="458"/>
      <c r="T185" s="458"/>
      <c r="U185" s="458"/>
      <c r="V185" s="458"/>
      <c r="W185" s="458"/>
    </row>
    <row r="186" spans="1:23" ht="15.75" customHeight="1">
      <c r="A186" s="458"/>
      <c r="B186" s="458"/>
      <c r="C186" s="458"/>
      <c r="D186" s="458"/>
      <c r="E186" s="458"/>
      <c r="F186" s="458"/>
      <c r="G186" s="458"/>
      <c r="H186" s="458"/>
      <c r="I186" s="458"/>
      <c r="J186" s="458"/>
      <c r="K186" s="458"/>
      <c r="L186" s="458"/>
      <c r="M186" s="458"/>
      <c r="N186" s="458"/>
      <c r="O186" s="458"/>
      <c r="P186" s="458"/>
      <c r="Q186" s="458"/>
      <c r="R186" s="458"/>
      <c r="S186" s="458"/>
      <c r="T186" s="458"/>
      <c r="U186" s="458"/>
      <c r="V186" s="458"/>
      <c r="W186" s="458"/>
    </row>
    <row r="187" spans="1:23" ht="15.75" customHeight="1">
      <c r="A187" s="458"/>
      <c r="B187" s="458"/>
      <c r="C187" s="458"/>
      <c r="D187" s="458"/>
      <c r="E187" s="458"/>
      <c r="F187" s="458"/>
      <c r="G187" s="458"/>
      <c r="H187" s="458"/>
      <c r="I187" s="458"/>
      <c r="J187" s="458"/>
      <c r="K187" s="458"/>
      <c r="L187" s="458"/>
      <c r="M187" s="458"/>
      <c r="N187" s="458"/>
      <c r="O187" s="458"/>
      <c r="P187" s="458"/>
      <c r="Q187" s="458"/>
      <c r="R187" s="458"/>
      <c r="S187" s="458"/>
      <c r="T187" s="458"/>
      <c r="U187" s="458"/>
      <c r="V187" s="458"/>
      <c r="W187" s="458"/>
    </row>
    <row r="188" spans="1:23" ht="15.75" customHeight="1">
      <c r="A188" s="458"/>
      <c r="B188" s="458"/>
      <c r="C188" s="458"/>
      <c r="D188" s="458"/>
      <c r="E188" s="458"/>
      <c r="F188" s="458"/>
      <c r="G188" s="458"/>
      <c r="H188" s="458"/>
      <c r="I188" s="458"/>
      <c r="J188" s="458"/>
      <c r="K188" s="458"/>
      <c r="L188" s="458"/>
      <c r="M188" s="458"/>
      <c r="N188" s="458"/>
      <c r="O188" s="458"/>
      <c r="P188" s="458"/>
      <c r="Q188" s="458"/>
      <c r="R188" s="458"/>
      <c r="S188" s="458"/>
      <c r="T188" s="458"/>
      <c r="U188" s="458"/>
      <c r="V188" s="458"/>
      <c r="W188" s="458"/>
    </row>
    <row r="189" spans="1:23" ht="15.75" customHeight="1">
      <c r="A189" s="458"/>
      <c r="B189" s="458"/>
      <c r="C189" s="458"/>
      <c r="D189" s="458"/>
      <c r="E189" s="458"/>
      <c r="F189" s="458"/>
      <c r="G189" s="458"/>
      <c r="H189" s="458"/>
      <c r="I189" s="458"/>
      <c r="J189" s="458"/>
      <c r="K189" s="458"/>
      <c r="L189" s="458"/>
      <c r="M189" s="458"/>
      <c r="N189" s="458"/>
      <c r="O189" s="458"/>
      <c r="P189" s="458"/>
      <c r="Q189" s="458"/>
      <c r="R189" s="458"/>
      <c r="S189" s="458"/>
      <c r="T189" s="458"/>
      <c r="U189" s="458"/>
      <c r="V189" s="458"/>
      <c r="W189" s="458"/>
    </row>
    <row r="190" spans="1:23" ht="15.75" customHeight="1">
      <c r="A190" s="458"/>
      <c r="B190" s="458"/>
      <c r="C190" s="458"/>
      <c r="D190" s="458"/>
      <c r="E190" s="458"/>
      <c r="F190" s="458"/>
      <c r="G190" s="458"/>
      <c r="H190" s="458"/>
      <c r="I190" s="458"/>
      <c r="J190" s="458"/>
      <c r="K190" s="458"/>
      <c r="L190" s="458"/>
      <c r="M190" s="458"/>
      <c r="N190" s="458"/>
      <c r="O190" s="458"/>
      <c r="P190" s="458"/>
      <c r="Q190" s="458"/>
      <c r="R190" s="458"/>
      <c r="S190" s="458"/>
      <c r="T190" s="458"/>
      <c r="U190" s="458"/>
      <c r="V190" s="458"/>
      <c r="W190" s="458"/>
    </row>
    <row r="191" spans="1:23" ht="15.75" customHeight="1">
      <c r="A191" s="458"/>
      <c r="B191" s="458"/>
      <c r="C191" s="458"/>
      <c r="D191" s="458"/>
      <c r="E191" s="458"/>
      <c r="F191" s="458"/>
      <c r="G191" s="458"/>
      <c r="H191" s="458"/>
      <c r="I191" s="458"/>
      <c r="J191" s="458"/>
      <c r="K191" s="458"/>
      <c r="L191" s="458"/>
      <c r="M191" s="458"/>
      <c r="N191" s="458"/>
      <c r="O191" s="458"/>
      <c r="P191" s="458"/>
      <c r="Q191" s="458"/>
      <c r="R191" s="458"/>
      <c r="S191" s="458"/>
      <c r="T191" s="458"/>
      <c r="U191" s="458"/>
      <c r="V191" s="458"/>
      <c r="W191" s="458"/>
    </row>
    <row r="192" spans="1:23" ht="15.75" customHeight="1">
      <c r="A192" s="458"/>
      <c r="B192" s="458"/>
      <c r="C192" s="458"/>
      <c r="D192" s="458"/>
      <c r="E192" s="458"/>
      <c r="F192" s="458"/>
      <c r="G192" s="458"/>
      <c r="H192" s="458"/>
      <c r="I192" s="458"/>
      <c r="J192" s="458"/>
      <c r="K192" s="458"/>
      <c r="L192" s="458"/>
      <c r="M192" s="458"/>
      <c r="N192" s="458"/>
      <c r="O192" s="458"/>
      <c r="P192" s="458"/>
      <c r="Q192" s="458"/>
      <c r="R192" s="458"/>
      <c r="S192" s="458"/>
      <c r="T192" s="458"/>
      <c r="U192" s="458"/>
      <c r="V192" s="458"/>
      <c r="W192" s="458"/>
    </row>
    <row r="193" spans="1:23" ht="15.75" customHeight="1">
      <c r="A193" s="458"/>
      <c r="B193" s="458"/>
      <c r="C193" s="458"/>
      <c r="D193" s="458"/>
      <c r="E193" s="458"/>
      <c r="F193" s="458"/>
      <c r="G193" s="458"/>
      <c r="H193" s="458"/>
      <c r="I193" s="458"/>
      <c r="J193" s="458"/>
      <c r="K193" s="458"/>
      <c r="L193" s="458"/>
      <c r="M193" s="458"/>
      <c r="N193" s="458"/>
      <c r="O193" s="458"/>
      <c r="P193" s="458"/>
      <c r="Q193" s="458"/>
      <c r="R193" s="458"/>
      <c r="S193" s="458"/>
      <c r="T193" s="458"/>
      <c r="U193" s="458"/>
      <c r="V193" s="458"/>
      <c r="W193" s="458"/>
    </row>
    <row r="194" spans="1:23" ht="15.75" customHeight="1">
      <c r="A194" s="458"/>
      <c r="B194" s="458"/>
      <c r="C194" s="458"/>
      <c r="D194" s="458"/>
      <c r="E194" s="458"/>
      <c r="F194" s="458"/>
      <c r="G194" s="458"/>
      <c r="H194" s="458"/>
      <c r="I194" s="458"/>
      <c r="J194" s="458"/>
      <c r="K194" s="458"/>
      <c r="L194" s="458"/>
      <c r="M194" s="458"/>
      <c r="N194" s="458"/>
      <c r="O194" s="458"/>
      <c r="P194" s="458"/>
      <c r="Q194" s="458"/>
      <c r="R194" s="458"/>
      <c r="S194" s="458"/>
      <c r="T194" s="458"/>
      <c r="U194" s="458"/>
      <c r="V194" s="458"/>
      <c r="W194" s="458"/>
    </row>
    <row r="195" spans="1:23" ht="15.75" customHeight="1">
      <c r="A195" s="458"/>
      <c r="B195" s="458"/>
      <c r="C195" s="458"/>
      <c r="D195" s="458"/>
      <c r="E195" s="458"/>
      <c r="F195" s="458"/>
      <c r="G195" s="458"/>
      <c r="H195" s="458"/>
      <c r="I195" s="458"/>
      <c r="J195" s="458"/>
      <c r="K195" s="458"/>
      <c r="L195" s="458"/>
      <c r="M195" s="458"/>
      <c r="N195" s="458"/>
      <c r="O195" s="458"/>
      <c r="P195" s="458"/>
      <c r="Q195" s="458"/>
      <c r="R195" s="458"/>
      <c r="S195" s="458"/>
      <c r="T195" s="458"/>
      <c r="U195" s="458"/>
      <c r="V195" s="458"/>
      <c r="W195" s="458"/>
    </row>
    <row r="196" spans="1:23" ht="15.75" customHeight="1">
      <c r="A196" s="458"/>
      <c r="B196" s="458"/>
      <c r="C196" s="458"/>
      <c r="D196" s="458"/>
      <c r="E196" s="458"/>
      <c r="F196" s="458"/>
      <c r="G196" s="458"/>
      <c r="H196" s="458"/>
      <c r="I196" s="458"/>
      <c r="J196" s="458"/>
      <c r="K196" s="458"/>
      <c r="L196" s="458"/>
      <c r="M196" s="458"/>
      <c r="N196" s="458"/>
      <c r="O196" s="458"/>
      <c r="P196" s="458"/>
      <c r="Q196" s="458"/>
      <c r="R196" s="458"/>
      <c r="S196" s="458"/>
      <c r="T196" s="458"/>
      <c r="U196" s="458"/>
      <c r="V196" s="458"/>
      <c r="W196" s="458"/>
    </row>
    <row r="197" spans="1:23" ht="15.75" customHeight="1">
      <c r="A197" s="458"/>
      <c r="B197" s="458"/>
      <c r="C197" s="458"/>
      <c r="D197" s="458"/>
      <c r="E197" s="458"/>
      <c r="F197" s="458"/>
      <c r="G197" s="458"/>
      <c r="H197" s="458"/>
      <c r="I197" s="458"/>
      <c r="J197" s="458"/>
      <c r="K197" s="458"/>
      <c r="L197" s="458"/>
      <c r="M197" s="458"/>
      <c r="N197" s="458"/>
      <c r="O197" s="458"/>
      <c r="P197" s="458"/>
      <c r="Q197" s="458"/>
      <c r="R197" s="458"/>
      <c r="S197" s="458"/>
      <c r="T197" s="458"/>
      <c r="U197" s="458"/>
      <c r="V197" s="458"/>
      <c r="W197" s="458"/>
    </row>
    <row r="198" spans="1:23" ht="15.75" customHeight="1">
      <c r="A198" s="458"/>
      <c r="B198" s="458"/>
      <c r="C198" s="458"/>
      <c r="D198" s="458"/>
      <c r="E198" s="458"/>
      <c r="F198" s="458"/>
      <c r="G198" s="458"/>
      <c r="H198" s="458"/>
      <c r="I198" s="458"/>
      <c r="J198" s="458"/>
      <c r="K198" s="458"/>
      <c r="L198" s="458"/>
      <c r="M198" s="458"/>
      <c r="N198" s="458"/>
      <c r="O198" s="458"/>
      <c r="P198" s="458"/>
      <c r="Q198" s="458"/>
      <c r="R198" s="458"/>
      <c r="S198" s="458"/>
      <c r="T198" s="458"/>
      <c r="U198" s="458"/>
      <c r="V198" s="458"/>
      <c r="W198" s="458"/>
    </row>
    <row r="199" spans="1:23" ht="15.75" customHeight="1">
      <c r="A199" s="458"/>
      <c r="B199" s="458"/>
      <c r="C199" s="458"/>
      <c r="D199" s="458"/>
      <c r="E199" s="458"/>
      <c r="F199" s="458"/>
      <c r="G199" s="458"/>
      <c r="H199" s="458"/>
      <c r="I199" s="458"/>
      <c r="J199" s="458"/>
      <c r="K199" s="458"/>
      <c r="L199" s="458"/>
      <c r="M199" s="458"/>
      <c r="N199" s="458"/>
      <c r="O199" s="458"/>
      <c r="P199" s="458"/>
      <c r="Q199" s="458"/>
      <c r="R199" s="458"/>
      <c r="S199" s="458"/>
      <c r="T199" s="458"/>
      <c r="U199" s="458"/>
      <c r="V199" s="458"/>
      <c r="W199" s="458"/>
    </row>
    <row r="200" spans="1:23" ht="15.75" customHeight="1">
      <c r="A200" s="458"/>
      <c r="B200" s="458"/>
      <c r="C200" s="458"/>
      <c r="D200" s="458"/>
      <c r="E200" s="458"/>
      <c r="F200" s="458"/>
      <c r="G200" s="458"/>
      <c r="H200" s="458"/>
      <c r="I200" s="458"/>
      <c r="J200" s="458"/>
      <c r="K200" s="458"/>
      <c r="L200" s="458"/>
      <c r="M200" s="458"/>
      <c r="N200" s="458"/>
      <c r="O200" s="458"/>
      <c r="P200" s="458"/>
      <c r="Q200" s="458"/>
      <c r="R200" s="458"/>
      <c r="S200" s="458"/>
      <c r="T200" s="458"/>
      <c r="U200" s="458"/>
      <c r="V200" s="458"/>
      <c r="W200" s="458"/>
    </row>
    <row r="201" spans="1:23" ht="15.75" customHeight="1">
      <c r="A201" s="458"/>
      <c r="B201" s="458"/>
      <c r="C201" s="458"/>
      <c r="D201" s="458"/>
      <c r="E201" s="458"/>
      <c r="F201" s="458"/>
      <c r="G201" s="458"/>
      <c r="H201" s="458"/>
      <c r="I201" s="458"/>
      <c r="J201" s="458"/>
      <c r="K201" s="458"/>
      <c r="L201" s="458"/>
      <c r="M201" s="458"/>
      <c r="N201" s="458"/>
      <c r="O201" s="458"/>
      <c r="P201" s="458"/>
      <c r="Q201" s="458"/>
      <c r="R201" s="458"/>
      <c r="S201" s="458"/>
      <c r="T201" s="458"/>
      <c r="U201" s="458"/>
      <c r="V201" s="458"/>
      <c r="W201" s="458"/>
    </row>
    <row r="202" spans="1:23" ht="15.75" customHeight="1">
      <c r="A202" s="458"/>
      <c r="B202" s="458"/>
      <c r="C202" s="458"/>
      <c r="D202" s="458"/>
      <c r="E202" s="458"/>
      <c r="F202" s="458"/>
      <c r="G202" s="458"/>
      <c r="H202" s="458"/>
      <c r="I202" s="458"/>
      <c r="J202" s="458"/>
      <c r="K202" s="458"/>
      <c r="L202" s="458"/>
      <c r="M202" s="458"/>
      <c r="N202" s="458"/>
      <c r="O202" s="458"/>
      <c r="P202" s="458"/>
      <c r="Q202" s="458"/>
      <c r="R202" s="458"/>
      <c r="S202" s="458"/>
      <c r="T202" s="458"/>
      <c r="U202" s="458"/>
      <c r="V202" s="458"/>
      <c r="W202" s="458"/>
    </row>
    <row r="203" spans="1:23" ht="15.75" customHeight="1">
      <c r="A203" s="458"/>
      <c r="B203" s="458"/>
      <c r="C203" s="458"/>
      <c r="D203" s="458"/>
      <c r="E203" s="458"/>
      <c r="F203" s="458"/>
      <c r="G203" s="458"/>
      <c r="H203" s="458"/>
      <c r="I203" s="458"/>
      <c r="J203" s="458"/>
      <c r="K203" s="458"/>
      <c r="L203" s="458"/>
      <c r="M203" s="458"/>
      <c r="N203" s="458"/>
      <c r="O203" s="458"/>
      <c r="P203" s="458"/>
      <c r="Q203" s="458"/>
      <c r="R203" s="458"/>
      <c r="S203" s="458"/>
      <c r="T203" s="458"/>
      <c r="U203" s="458"/>
      <c r="V203" s="458"/>
      <c r="W203" s="458"/>
    </row>
    <row r="204" spans="1:23" ht="15.75" customHeight="1">
      <c r="A204" s="458"/>
      <c r="B204" s="458"/>
      <c r="C204" s="458"/>
      <c r="D204" s="458"/>
      <c r="E204" s="458"/>
      <c r="F204" s="458"/>
      <c r="G204" s="458"/>
      <c r="H204" s="458"/>
      <c r="I204" s="458"/>
      <c r="J204" s="458"/>
      <c r="K204" s="458"/>
      <c r="L204" s="458"/>
      <c r="M204" s="458"/>
      <c r="N204" s="458"/>
      <c r="O204" s="458"/>
      <c r="P204" s="458"/>
      <c r="Q204" s="458"/>
      <c r="R204" s="458"/>
      <c r="S204" s="458"/>
      <c r="T204" s="458"/>
      <c r="U204" s="458"/>
      <c r="V204" s="458"/>
      <c r="W204" s="458"/>
    </row>
    <row r="205" spans="1:23" ht="15.75" customHeight="1">
      <c r="A205" s="458"/>
      <c r="B205" s="458"/>
      <c r="C205" s="458"/>
      <c r="D205" s="458"/>
      <c r="E205" s="458"/>
      <c r="F205" s="458"/>
      <c r="G205" s="458"/>
      <c r="H205" s="458"/>
      <c r="I205" s="458"/>
      <c r="J205" s="458"/>
      <c r="K205" s="458"/>
      <c r="L205" s="458"/>
      <c r="M205" s="458"/>
      <c r="N205" s="458"/>
      <c r="O205" s="458"/>
      <c r="P205" s="458"/>
      <c r="Q205" s="458"/>
      <c r="R205" s="458"/>
      <c r="S205" s="458"/>
      <c r="T205" s="458"/>
      <c r="U205" s="458"/>
      <c r="V205" s="458"/>
      <c r="W205" s="458"/>
    </row>
    <row r="206" spans="1:23" ht="15.75" customHeight="1">
      <c r="A206" s="458"/>
      <c r="B206" s="458"/>
      <c r="C206" s="458"/>
      <c r="D206" s="458"/>
      <c r="E206" s="458"/>
      <c r="F206" s="458"/>
      <c r="G206" s="458"/>
      <c r="H206" s="458"/>
      <c r="I206" s="458"/>
      <c r="J206" s="458"/>
      <c r="K206" s="458"/>
      <c r="L206" s="458"/>
      <c r="M206" s="458"/>
      <c r="N206" s="458"/>
      <c r="O206" s="458"/>
      <c r="P206" s="458"/>
      <c r="Q206" s="458"/>
      <c r="R206" s="458"/>
      <c r="S206" s="458"/>
      <c r="T206" s="458"/>
      <c r="U206" s="458"/>
      <c r="V206" s="458"/>
      <c r="W206" s="458"/>
    </row>
    <row r="207" spans="1:23" ht="15.75" customHeight="1">
      <c r="A207" s="458"/>
      <c r="B207" s="458"/>
      <c r="C207" s="458"/>
      <c r="D207" s="458"/>
      <c r="E207" s="458"/>
      <c r="F207" s="458"/>
      <c r="G207" s="458"/>
      <c r="H207" s="458"/>
      <c r="I207" s="458"/>
      <c r="J207" s="458"/>
      <c r="K207" s="458"/>
      <c r="L207" s="458"/>
      <c r="M207" s="458"/>
      <c r="N207" s="458"/>
      <c r="O207" s="458"/>
      <c r="P207" s="458"/>
      <c r="Q207" s="458"/>
      <c r="R207" s="458"/>
      <c r="S207" s="458"/>
      <c r="T207" s="458"/>
      <c r="U207" s="458"/>
      <c r="V207" s="458"/>
      <c r="W207" s="458"/>
    </row>
    <row r="208" spans="1:23" ht="15.75" customHeight="1">
      <c r="A208" s="458"/>
      <c r="B208" s="458"/>
      <c r="C208" s="458"/>
      <c r="D208" s="458"/>
      <c r="E208" s="458"/>
      <c r="F208" s="458"/>
      <c r="G208" s="458"/>
      <c r="H208" s="458"/>
      <c r="I208" s="458"/>
      <c r="J208" s="458"/>
      <c r="K208" s="458"/>
      <c r="L208" s="458"/>
      <c r="M208" s="458"/>
      <c r="N208" s="458"/>
      <c r="O208" s="458"/>
      <c r="P208" s="458"/>
      <c r="Q208" s="458"/>
      <c r="R208" s="458"/>
      <c r="S208" s="458"/>
      <c r="T208" s="458"/>
      <c r="U208" s="458"/>
      <c r="V208" s="458"/>
      <c r="W208" s="458"/>
    </row>
    <row r="209" spans="1:23" ht="15.75" customHeight="1">
      <c r="A209" s="458"/>
      <c r="B209" s="458"/>
      <c r="C209" s="458"/>
      <c r="D209" s="458"/>
      <c r="E209" s="458"/>
      <c r="F209" s="458"/>
      <c r="G209" s="458"/>
      <c r="H209" s="458"/>
      <c r="I209" s="458"/>
      <c r="J209" s="458"/>
      <c r="K209" s="458"/>
      <c r="L209" s="458"/>
      <c r="M209" s="458"/>
      <c r="N209" s="458"/>
      <c r="O209" s="458"/>
      <c r="P209" s="458"/>
      <c r="Q209" s="458"/>
      <c r="R209" s="458"/>
      <c r="S209" s="458"/>
      <c r="T209" s="458"/>
      <c r="U209" s="458"/>
      <c r="V209" s="458"/>
      <c r="W209" s="458"/>
    </row>
    <row r="210" spans="1:23" ht="15.75" customHeight="1">
      <c r="A210" s="458"/>
      <c r="B210" s="458"/>
      <c r="C210" s="458"/>
      <c r="D210" s="458"/>
      <c r="E210" s="458"/>
      <c r="F210" s="458"/>
      <c r="G210" s="458"/>
      <c r="H210" s="458"/>
      <c r="I210" s="458"/>
      <c r="J210" s="458"/>
      <c r="K210" s="458"/>
      <c r="L210" s="458"/>
      <c r="M210" s="458"/>
      <c r="N210" s="458"/>
      <c r="O210" s="458"/>
      <c r="P210" s="458"/>
      <c r="Q210" s="458"/>
      <c r="R210" s="458"/>
      <c r="S210" s="458"/>
      <c r="T210" s="458"/>
      <c r="U210" s="458"/>
      <c r="V210" s="458"/>
      <c r="W210" s="458"/>
    </row>
    <row r="211" spans="1:23" ht="15.75" customHeight="1">
      <c r="A211" s="458"/>
      <c r="B211" s="458"/>
      <c r="C211" s="458"/>
      <c r="D211" s="458"/>
      <c r="E211" s="458"/>
      <c r="F211" s="458"/>
      <c r="G211" s="458"/>
      <c r="H211" s="458"/>
      <c r="I211" s="458"/>
      <c r="J211" s="458"/>
      <c r="K211" s="458"/>
      <c r="L211" s="458"/>
      <c r="M211" s="458"/>
      <c r="N211" s="458"/>
      <c r="O211" s="458"/>
      <c r="P211" s="458"/>
      <c r="Q211" s="458"/>
      <c r="R211" s="458"/>
      <c r="S211" s="458"/>
      <c r="T211" s="458"/>
      <c r="U211" s="458"/>
      <c r="V211" s="458"/>
      <c r="W211" s="458"/>
    </row>
    <row r="212" spans="1:23" ht="15.75" customHeight="1">
      <c r="A212" s="458"/>
      <c r="B212" s="458"/>
      <c r="C212" s="458"/>
      <c r="D212" s="458"/>
      <c r="E212" s="458"/>
      <c r="F212" s="458"/>
      <c r="G212" s="458"/>
      <c r="H212" s="458"/>
      <c r="I212" s="458"/>
      <c r="J212" s="458"/>
      <c r="K212" s="458"/>
      <c r="L212" s="458"/>
      <c r="M212" s="458"/>
      <c r="N212" s="458"/>
      <c r="O212" s="458"/>
      <c r="P212" s="458"/>
      <c r="Q212" s="458"/>
      <c r="R212" s="458"/>
      <c r="S212" s="458"/>
      <c r="T212" s="458"/>
      <c r="U212" s="458"/>
      <c r="V212" s="458"/>
      <c r="W212" s="458"/>
    </row>
    <row r="213" spans="1:23" ht="15.75" customHeight="1">
      <c r="A213" s="458"/>
      <c r="B213" s="458"/>
      <c r="C213" s="458"/>
      <c r="D213" s="458"/>
      <c r="E213" s="458"/>
      <c r="F213" s="458"/>
      <c r="G213" s="458"/>
      <c r="H213" s="458"/>
      <c r="I213" s="458"/>
      <c r="J213" s="458"/>
      <c r="K213" s="458"/>
      <c r="L213" s="458"/>
      <c r="M213" s="458"/>
      <c r="N213" s="458"/>
      <c r="O213" s="458"/>
      <c r="P213" s="458"/>
      <c r="Q213" s="458"/>
      <c r="R213" s="458"/>
      <c r="S213" s="458"/>
      <c r="T213" s="458"/>
      <c r="U213" s="458"/>
      <c r="V213" s="458"/>
      <c r="W213" s="458"/>
    </row>
    <row r="214" spans="1:23" ht="15.75" customHeight="1">
      <c r="A214" s="458"/>
      <c r="B214" s="458"/>
      <c r="C214" s="458"/>
      <c r="D214" s="458"/>
      <c r="E214" s="458"/>
      <c r="F214" s="458"/>
      <c r="G214" s="458"/>
      <c r="H214" s="458"/>
      <c r="I214" s="458"/>
      <c r="J214" s="458"/>
      <c r="K214" s="458"/>
      <c r="L214" s="458"/>
      <c r="M214" s="458"/>
      <c r="N214" s="458"/>
      <c r="O214" s="458"/>
      <c r="P214" s="458"/>
      <c r="Q214" s="458"/>
      <c r="R214" s="458"/>
      <c r="S214" s="458"/>
      <c r="T214" s="458"/>
      <c r="U214" s="458"/>
      <c r="V214" s="458"/>
      <c r="W214" s="458"/>
    </row>
    <row r="215" spans="1:23" ht="15.75" customHeight="1">
      <c r="A215" s="458"/>
      <c r="B215" s="458"/>
      <c r="C215" s="458"/>
      <c r="D215" s="458"/>
      <c r="E215" s="458"/>
      <c r="F215" s="458"/>
      <c r="G215" s="458"/>
      <c r="H215" s="458"/>
      <c r="I215" s="458"/>
      <c r="J215" s="458"/>
      <c r="K215" s="458"/>
      <c r="L215" s="458"/>
      <c r="M215" s="458"/>
      <c r="N215" s="458"/>
      <c r="O215" s="458"/>
      <c r="P215" s="458"/>
      <c r="Q215" s="458"/>
      <c r="R215" s="458"/>
      <c r="S215" s="458"/>
      <c r="T215" s="458"/>
      <c r="U215" s="458"/>
      <c r="V215" s="458"/>
      <c r="W215" s="458"/>
    </row>
    <row r="216" spans="1:23" ht="15.75" customHeight="1">
      <c r="A216" s="458"/>
      <c r="B216" s="458"/>
      <c r="C216" s="458"/>
      <c r="D216" s="458"/>
      <c r="E216" s="458"/>
      <c r="F216" s="458"/>
      <c r="G216" s="458"/>
      <c r="H216" s="458"/>
      <c r="I216" s="458"/>
      <c r="J216" s="458"/>
      <c r="K216" s="458"/>
      <c r="L216" s="458"/>
      <c r="M216" s="458"/>
      <c r="N216" s="458"/>
      <c r="O216" s="458"/>
      <c r="P216" s="458"/>
      <c r="Q216" s="458"/>
      <c r="R216" s="458"/>
      <c r="S216" s="458"/>
      <c r="T216" s="458"/>
      <c r="U216" s="458"/>
      <c r="V216" s="458"/>
      <c r="W216" s="458"/>
    </row>
    <row r="217" spans="1:23" ht="15.75" customHeight="1">
      <c r="A217" s="458"/>
      <c r="B217" s="458"/>
      <c r="C217" s="458"/>
      <c r="D217" s="458"/>
      <c r="E217" s="458"/>
      <c r="F217" s="458"/>
      <c r="G217" s="458"/>
      <c r="H217" s="458"/>
      <c r="I217" s="458"/>
      <c r="J217" s="458"/>
      <c r="K217" s="458"/>
      <c r="L217" s="458"/>
      <c r="M217" s="458"/>
      <c r="N217" s="458"/>
      <c r="O217" s="458"/>
      <c r="P217" s="458"/>
      <c r="Q217" s="458"/>
      <c r="R217" s="458"/>
      <c r="S217" s="458"/>
      <c r="T217" s="458"/>
      <c r="U217" s="458"/>
      <c r="V217" s="458"/>
      <c r="W217" s="458"/>
    </row>
    <row r="218" spans="1:23" ht="15.75" customHeight="1">
      <c r="A218" s="458"/>
      <c r="B218" s="458"/>
      <c r="C218" s="458"/>
      <c r="D218" s="458"/>
      <c r="E218" s="458"/>
      <c r="F218" s="458"/>
      <c r="G218" s="458"/>
      <c r="H218" s="458"/>
      <c r="I218" s="458"/>
      <c r="J218" s="458"/>
      <c r="K218" s="458"/>
      <c r="L218" s="458"/>
      <c r="M218" s="458"/>
      <c r="N218" s="458"/>
      <c r="O218" s="458"/>
      <c r="P218" s="458"/>
      <c r="Q218" s="458"/>
      <c r="R218" s="458"/>
      <c r="S218" s="458"/>
      <c r="T218" s="458"/>
      <c r="U218" s="458"/>
      <c r="V218" s="458"/>
      <c r="W218" s="458"/>
    </row>
    <row r="219" spans="1:23" ht="15.75" customHeight="1">
      <c r="A219" s="458"/>
      <c r="B219" s="458"/>
      <c r="C219" s="458"/>
      <c r="D219" s="458"/>
      <c r="E219" s="458"/>
      <c r="F219" s="458"/>
      <c r="G219" s="458"/>
      <c r="H219" s="458"/>
      <c r="I219" s="458"/>
      <c r="J219" s="458"/>
      <c r="K219" s="458"/>
      <c r="L219" s="458"/>
      <c r="M219" s="458"/>
      <c r="N219" s="458"/>
      <c r="O219" s="458"/>
      <c r="P219" s="458"/>
      <c r="Q219" s="458"/>
      <c r="R219" s="458"/>
      <c r="S219" s="458"/>
      <c r="T219" s="458"/>
      <c r="U219" s="458"/>
      <c r="V219" s="458"/>
      <c r="W219" s="458"/>
    </row>
    <row r="220" spans="1:23" ht="15.75" customHeight="1">
      <c r="A220" s="458"/>
      <c r="B220" s="458"/>
      <c r="C220" s="458"/>
      <c r="D220" s="458"/>
      <c r="E220" s="458"/>
      <c r="F220" s="458"/>
      <c r="G220" s="458"/>
      <c r="H220" s="458"/>
      <c r="I220" s="458"/>
      <c r="J220" s="458"/>
      <c r="K220" s="458"/>
      <c r="L220" s="458"/>
      <c r="M220" s="458"/>
      <c r="N220" s="458"/>
      <c r="O220" s="458"/>
      <c r="P220" s="458"/>
      <c r="Q220" s="458"/>
      <c r="R220" s="458"/>
      <c r="S220" s="458"/>
      <c r="T220" s="458"/>
      <c r="U220" s="458"/>
      <c r="V220" s="458"/>
      <c r="W220" s="458"/>
    </row>
    <row r="221" spans="1:23" ht="15.75" customHeight="1">
      <c r="A221" s="458"/>
      <c r="B221" s="458"/>
      <c r="C221" s="458"/>
      <c r="D221" s="458"/>
      <c r="E221" s="458"/>
      <c r="F221" s="458"/>
      <c r="G221" s="458"/>
      <c r="H221" s="458"/>
      <c r="I221" s="458"/>
      <c r="J221" s="458"/>
      <c r="K221" s="458"/>
      <c r="L221" s="458"/>
      <c r="M221" s="458"/>
      <c r="N221" s="458"/>
      <c r="O221" s="458"/>
      <c r="P221" s="458"/>
      <c r="Q221" s="458"/>
      <c r="R221" s="458"/>
      <c r="S221" s="458"/>
      <c r="T221" s="458"/>
      <c r="U221" s="458"/>
      <c r="V221" s="458"/>
      <c r="W221" s="458"/>
    </row>
    <row r="222" spans="1:23" ht="15.75" customHeight="1">
      <c r="A222" s="458"/>
      <c r="B222" s="458"/>
      <c r="C222" s="458"/>
      <c r="D222" s="458"/>
      <c r="E222" s="458"/>
      <c r="F222" s="458"/>
      <c r="G222" s="458"/>
      <c r="H222" s="458"/>
      <c r="I222" s="458"/>
      <c r="J222" s="458"/>
      <c r="K222" s="458"/>
      <c r="L222" s="458"/>
      <c r="M222" s="458"/>
      <c r="N222" s="458"/>
      <c r="O222" s="458"/>
      <c r="P222" s="458"/>
      <c r="Q222" s="458"/>
      <c r="R222" s="458"/>
      <c r="S222" s="458"/>
      <c r="T222" s="458"/>
      <c r="U222" s="458"/>
      <c r="V222" s="458"/>
      <c r="W222" s="458"/>
    </row>
    <row r="223" spans="1:23" ht="15.75" customHeight="1">
      <c r="A223" s="458"/>
      <c r="B223" s="458"/>
      <c r="C223" s="458"/>
      <c r="D223" s="458"/>
      <c r="E223" s="458"/>
      <c r="F223" s="458"/>
      <c r="G223" s="458"/>
      <c r="H223" s="458"/>
      <c r="I223" s="458"/>
      <c r="J223" s="458"/>
      <c r="K223" s="458"/>
      <c r="L223" s="458"/>
      <c r="M223" s="458"/>
      <c r="N223" s="458"/>
      <c r="O223" s="458"/>
      <c r="P223" s="458"/>
      <c r="Q223" s="458"/>
      <c r="R223" s="458"/>
      <c r="S223" s="458"/>
      <c r="T223" s="458"/>
      <c r="U223" s="458"/>
      <c r="V223" s="458"/>
      <c r="W223" s="458"/>
    </row>
    <row r="224" spans="1:23" ht="15.75" customHeight="1">
      <c r="A224" s="458"/>
      <c r="B224" s="458"/>
      <c r="C224" s="458"/>
      <c r="D224" s="458"/>
      <c r="E224" s="458"/>
      <c r="F224" s="458"/>
      <c r="G224" s="458"/>
      <c r="H224" s="458"/>
      <c r="I224" s="458"/>
      <c r="J224" s="458"/>
      <c r="K224" s="458"/>
      <c r="L224" s="458"/>
      <c r="M224" s="458"/>
      <c r="N224" s="458"/>
      <c r="O224" s="458"/>
      <c r="P224" s="458"/>
      <c r="Q224" s="458"/>
      <c r="R224" s="458"/>
      <c r="S224" s="458"/>
      <c r="T224" s="458"/>
      <c r="U224" s="458"/>
      <c r="V224" s="458"/>
      <c r="W224" s="458"/>
    </row>
    <row r="225" spans="1:23" ht="15.75" customHeight="1">
      <c r="A225" s="458"/>
      <c r="B225" s="458"/>
      <c r="C225" s="458"/>
      <c r="D225" s="458"/>
      <c r="E225" s="458"/>
      <c r="F225" s="458"/>
      <c r="G225" s="458"/>
      <c r="H225" s="458"/>
      <c r="I225" s="458"/>
      <c r="J225" s="458"/>
      <c r="K225" s="458"/>
      <c r="L225" s="458"/>
      <c r="M225" s="458"/>
      <c r="N225" s="458"/>
      <c r="O225" s="458"/>
      <c r="P225" s="458"/>
      <c r="Q225" s="458"/>
      <c r="R225" s="458"/>
      <c r="S225" s="458"/>
      <c r="T225" s="458"/>
      <c r="U225" s="458"/>
      <c r="V225" s="458"/>
      <c r="W225" s="458"/>
    </row>
    <row r="226" spans="1:23" ht="15.75" customHeight="1">
      <c r="A226" s="458"/>
      <c r="B226" s="458"/>
      <c r="C226" s="458"/>
      <c r="D226" s="458"/>
      <c r="E226" s="458"/>
      <c r="F226" s="458"/>
      <c r="G226" s="458"/>
      <c r="H226" s="458"/>
      <c r="I226" s="458"/>
      <c r="J226" s="458"/>
      <c r="K226" s="458"/>
      <c r="L226" s="458"/>
      <c r="M226" s="458"/>
      <c r="N226" s="458"/>
      <c r="O226" s="458"/>
      <c r="P226" s="458"/>
      <c r="Q226" s="458"/>
      <c r="R226" s="458"/>
      <c r="S226" s="458"/>
      <c r="T226" s="458"/>
      <c r="U226" s="458"/>
      <c r="V226" s="458"/>
      <c r="W226" s="458"/>
    </row>
    <row r="227" spans="1:23" ht="15.75" customHeight="1">
      <c r="A227" s="458"/>
      <c r="B227" s="458"/>
      <c r="C227" s="458"/>
      <c r="D227" s="458"/>
      <c r="E227" s="458"/>
      <c r="F227" s="458"/>
      <c r="G227" s="458"/>
      <c r="H227" s="458"/>
      <c r="I227" s="458"/>
      <c r="J227" s="458"/>
      <c r="K227" s="458"/>
      <c r="L227" s="458"/>
      <c r="M227" s="458"/>
      <c r="N227" s="458"/>
      <c r="O227" s="458"/>
      <c r="P227" s="458"/>
      <c r="Q227" s="458"/>
      <c r="R227" s="458"/>
      <c r="S227" s="458"/>
      <c r="T227" s="458"/>
      <c r="U227" s="458"/>
      <c r="V227" s="458"/>
      <c r="W227" s="458"/>
    </row>
    <row r="228" spans="1:23" ht="15.75" customHeight="1">
      <c r="A228" s="458"/>
      <c r="B228" s="458"/>
      <c r="C228" s="458"/>
      <c r="D228" s="458"/>
      <c r="E228" s="458"/>
      <c r="F228" s="458"/>
      <c r="G228" s="458"/>
      <c r="H228" s="458"/>
      <c r="I228" s="458"/>
      <c r="J228" s="458"/>
      <c r="K228" s="458"/>
      <c r="L228" s="458"/>
      <c r="M228" s="458"/>
      <c r="N228" s="458"/>
      <c r="O228" s="458"/>
      <c r="P228" s="458"/>
      <c r="Q228" s="458"/>
      <c r="R228" s="458"/>
      <c r="S228" s="458"/>
      <c r="T228" s="458"/>
      <c r="U228" s="458"/>
      <c r="V228" s="458"/>
      <c r="W228" s="458"/>
    </row>
    <row r="229" spans="1:23" ht="15.75" customHeight="1">
      <c r="A229" s="458"/>
      <c r="B229" s="458"/>
      <c r="C229" s="458"/>
      <c r="D229" s="458"/>
      <c r="E229" s="458"/>
      <c r="F229" s="458"/>
      <c r="G229" s="458"/>
      <c r="H229" s="458"/>
      <c r="I229" s="458"/>
      <c r="J229" s="458"/>
      <c r="K229" s="458"/>
      <c r="L229" s="458"/>
      <c r="M229" s="458"/>
      <c r="N229" s="458"/>
      <c r="O229" s="458"/>
      <c r="P229" s="458"/>
      <c r="Q229" s="458"/>
      <c r="R229" s="458"/>
      <c r="S229" s="458"/>
      <c r="T229" s="458"/>
      <c r="U229" s="458"/>
      <c r="V229" s="458"/>
      <c r="W229" s="458"/>
    </row>
    <row r="230" spans="1:23" ht="15.75" customHeight="1">
      <c r="A230" s="458"/>
      <c r="B230" s="458"/>
      <c r="C230" s="458"/>
      <c r="D230" s="458"/>
      <c r="E230" s="458"/>
      <c r="F230" s="458"/>
      <c r="G230" s="458"/>
      <c r="H230" s="458"/>
      <c r="I230" s="458"/>
      <c r="J230" s="458"/>
      <c r="K230" s="458"/>
      <c r="L230" s="458"/>
      <c r="M230" s="458"/>
      <c r="N230" s="458"/>
      <c r="O230" s="458"/>
      <c r="P230" s="458"/>
      <c r="Q230" s="458"/>
      <c r="R230" s="458"/>
      <c r="S230" s="458"/>
      <c r="T230" s="458"/>
      <c r="U230" s="458"/>
      <c r="V230" s="458"/>
      <c r="W230" s="458"/>
    </row>
    <row r="231" spans="1:23" ht="15.75" customHeight="1">
      <c r="A231" s="458"/>
      <c r="B231" s="458"/>
      <c r="C231" s="458"/>
      <c r="D231" s="458"/>
      <c r="E231" s="458"/>
      <c r="F231" s="458"/>
      <c r="G231" s="458"/>
      <c r="H231" s="458"/>
      <c r="I231" s="458"/>
      <c r="J231" s="458"/>
      <c r="K231" s="458"/>
      <c r="L231" s="458"/>
      <c r="M231" s="458"/>
      <c r="N231" s="458"/>
      <c r="O231" s="458"/>
      <c r="P231" s="458"/>
      <c r="Q231" s="458"/>
      <c r="R231" s="458"/>
      <c r="S231" s="458"/>
      <c r="T231" s="458"/>
      <c r="U231" s="458"/>
      <c r="V231" s="458"/>
      <c r="W231" s="458"/>
    </row>
    <row r="232" spans="1:23" ht="15.75" customHeight="1">
      <c r="A232" s="458"/>
      <c r="B232" s="458"/>
      <c r="C232" s="458"/>
      <c r="D232" s="458"/>
      <c r="E232" s="458"/>
      <c r="F232" s="458"/>
      <c r="G232" s="458"/>
      <c r="H232" s="458"/>
      <c r="I232" s="458"/>
      <c r="J232" s="458"/>
      <c r="K232" s="458"/>
      <c r="L232" s="458"/>
      <c r="M232" s="458"/>
      <c r="N232" s="458"/>
      <c r="O232" s="458"/>
      <c r="P232" s="458"/>
      <c r="Q232" s="458"/>
      <c r="R232" s="458"/>
      <c r="S232" s="458"/>
      <c r="T232" s="458"/>
      <c r="U232" s="458"/>
      <c r="V232" s="458"/>
      <c r="W232" s="458"/>
    </row>
    <row r="233" spans="1:23" ht="15.75" customHeight="1">
      <c r="A233" s="458"/>
      <c r="B233" s="458"/>
      <c r="C233" s="458"/>
      <c r="D233" s="458"/>
      <c r="E233" s="458"/>
      <c r="F233" s="458"/>
      <c r="G233" s="458"/>
      <c r="H233" s="458"/>
      <c r="I233" s="458"/>
      <c r="J233" s="458"/>
      <c r="K233" s="458"/>
      <c r="L233" s="458"/>
      <c r="M233" s="458"/>
      <c r="N233" s="458"/>
      <c r="O233" s="458"/>
      <c r="P233" s="458"/>
      <c r="Q233" s="458"/>
      <c r="R233" s="458"/>
      <c r="S233" s="458"/>
      <c r="T233" s="458"/>
      <c r="U233" s="458"/>
      <c r="V233" s="458"/>
      <c r="W233" s="458"/>
    </row>
    <row r="234" spans="1:23" ht="15.75" customHeight="1">
      <c r="A234" s="458"/>
      <c r="B234" s="458"/>
      <c r="C234" s="458"/>
      <c r="D234" s="458"/>
      <c r="E234" s="458"/>
      <c r="F234" s="458"/>
      <c r="G234" s="458"/>
      <c r="H234" s="458"/>
      <c r="I234" s="458"/>
      <c r="J234" s="458"/>
      <c r="K234" s="458"/>
      <c r="L234" s="458"/>
      <c r="M234" s="458"/>
      <c r="N234" s="458"/>
      <c r="O234" s="458"/>
      <c r="P234" s="458"/>
      <c r="Q234" s="458"/>
      <c r="R234" s="458"/>
      <c r="S234" s="458"/>
      <c r="T234" s="458"/>
      <c r="U234" s="458"/>
      <c r="V234" s="458"/>
      <c r="W234" s="458"/>
    </row>
    <row r="235" spans="1:23" ht="15.75" customHeight="1">
      <c r="A235" s="458"/>
      <c r="B235" s="458"/>
      <c r="C235" s="458"/>
      <c r="D235" s="458"/>
      <c r="E235" s="458"/>
      <c r="F235" s="458"/>
      <c r="G235" s="458"/>
      <c r="H235" s="458"/>
      <c r="I235" s="458"/>
      <c r="J235" s="458"/>
      <c r="K235" s="458"/>
      <c r="L235" s="458"/>
      <c r="M235" s="458"/>
      <c r="N235" s="458"/>
      <c r="O235" s="458"/>
      <c r="P235" s="458"/>
      <c r="Q235" s="458"/>
      <c r="R235" s="458"/>
      <c r="S235" s="458"/>
      <c r="T235" s="458"/>
      <c r="U235" s="458"/>
      <c r="V235" s="458"/>
      <c r="W235" s="458"/>
    </row>
    <row r="236" spans="1:23" ht="15.75" customHeight="1">
      <c r="A236" s="458"/>
      <c r="B236" s="458"/>
      <c r="C236" s="458"/>
      <c r="D236" s="458"/>
      <c r="E236" s="458"/>
      <c r="F236" s="458"/>
      <c r="G236" s="458"/>
      <c r="H236" s="458"/>
      <c r="I236" s="458"/>
      <c r="J236" s="458"/>
      <c r="K236" s="458"/>
      <c r="L236" s="458"/>
      <c r="M236" s="458"/>
      <c r="N236" s="458"/>
      <c r="O236" s="458"/>
      <c r="P236" s="458"/>
      <c r="Q236" s="458"/>
      <c r="R236" s="458"/>
      <c r="S236" s="458"/>
      <c r="T236" s="458"/>
      <c r="U236" s="458"/>
      <c r="V236" s="458"/>
      <c r="W236" s="458"/>
    </row>
    <row r="237" spans="1:23" ht="15.75" customHeight="1">
      <c r="A237" s="458"/>
      <c r="B237" s="458"/>
      <c r="C237" s="458"/>
      <c r="D237" s="458"/>
      <c r="E237" s="458"/>
      <c r="F237" s="458"/>
      <c r="G237" s="458"/>
      <c r="H237" s="458"/>
      <c r="I237" s="458"/>
      <c r="J237" s="458"/>
      <c r="K237" s="458"/>
      <c r="L237" s="458"/>
      <c r="M237" s="458"/>
      <c r="N237" s="458"/>
      <c r="O237" s="458"/>
      <c r="P237" s="458"/>
      <c r="Q237" s="458"/>
      <c r="R237" s="458"/>
      <c r="S237" s="458"/>
      <c r="T237" s="458"/>
      <c r="U237" s="458"/>
      <c r="V237" s="458"/>
      <c r="W237" s="458"/>
    </row>
    <row r="238" spans="1:23" ht="15.75" customHeight="1">
      <c r="A238" s="458"/>
      <c r="B238" s="458"/>
      <c r="C238" s="458"/>
      <c r="D238" s="458"/>
      <c r="E238" s="458"/>
      <c r="F238" s="458"/>
      <c r="G238" s="458"/>
      <c r="H238" s="458"/>
      <c r="I238" s="458"/>
      <c r="J238" s="458"/>
      <c r="K238" s="458"/>
      <c r="L238" s="458"/>
      <c r="M238" s="458"/>
      <c r="N238" s="458"/>
      <c r="O238" s="458"/>
      <c r="P238" s="458"/>
      <c r="Q238" s="458"/>
      <c r="R238" s="458"/>
      <c r="S238" s="458"/>
      <c r="T238" s="458"/>
      <c r="U238" s="458"/>
      <c r="V238" s="458"/>
      <c r="W238" s="458"/>
    </row>
    <row r="239" spans="1:23" ht="15.75" customHeight="1">
      <c r="A239" s="458"/>
      <c r="B239" s="458"/>
      <c r="C239" s="458"/>
      <c r="D239" s="458"/>
      <c r="E239" s="458"/>
      <c r="F239" s="458"/>
      <c r="G239" s="458"/>
      <c r="H239" s="458"/>
      <c r="I239" s="458"/>
      <c r="J239" s="458"/>
      <c r="K239" s="458"/>
      <c r="L239" s="458"/>
      <c r="M239" s="458"/>
      <c r="N239" s="458"/>
      <c r="O239" s="458"/>
      <c r="P239" s="458"/>
      <c r="Q239" s="458"/>
      <c r="R239" s="458"/>
      <c r="S239" s="458"/>
      <c r="T239" s="458"/>
      <c r="U239" s="458"/>
      <c r="V239" s="458"/>
      <c r="W239" s="458"/>
    </row>
    <row r="240" spans="1:23" ht="15.75" customHeight="1">
      <c r="A240" s="458"/>
      <c r="B240" s="458"/>
      <c r="C240" s="458"/>
      <c r="D240" s="458"/>
      <c r="E240" s="458"/>
      <c r="F240" s="458"/>
      <c r="G240" s="458"/>
      <c r="H240" s="458"/>
      <c r="I240" s="458"/>
      <c r="J240" s="458"/>
      <c r="K240" s="458"/>
      <c r="L240" s="458"/>
      <c r="M240" s="458"/>
      <c r="N240" s="458"/>
      <c r="O240" s="458"/>
      <c r="P240" s="458"/>
      <c r="Q240" s="458"/>
      <c r="R240" s="458"/>
      <c r="S240" s="458"/>
      <c r="T240" s="458"/>
      <c r="U240" s="458"/>
      <c r="V240" s="458"/>
      <c r="W240" s="458"/>
    </row>
    <row r="241" spans="1:23" ht="15.75" customHeight="1">
      <c r="A241" s="458"/>
      <c r="B241" s="458"/>
      <c r="C241" s="458"/>
      <c r="D241" s="458"/>
      <c r="E241" s="458"/>
      <c r="F241" s="458"/>
      <c r="G241" s="458"/>
      <c r="H241" s="458"/>
      <c r="I241" s="458"/>
      <c r="J241" s="458"/>
      <c r="K241" s="458"/>
      <c r="L241" s="458"/>
      <c r="M241" s="458"/>
      <c r="N241" s="458"/>
      <c r="O241" s="458"/>
      <c r="P241" s="458"/>
      <c r="Q241" s="458"/>
      <c r="R241" s="458"/>
      <c r="S241" s="458"/>
      <c r="T241" s="458"/>
      <c r="U241" s="458"/>
      <c r="V241" s="458"/>
      <c r="W241" s="458"/>
    </row>
    <row r="242" spans="1:23" ht="15.75" customHeight="1">
      <c r="A242" s="458"/>
      <c r="B242" s="458"/>
      <c r="C242" s="458"/>
      <c r="D242" s="458"/>
      <c r="E242" s="458"/>
      <c r="F242" s="458"/>
      <c r="G242" s="458"/>
      <c r="H242" s="458"/>
      <c r="I242" s="458"/>
      <c r="J242" s="458"/>
      <c r="K242" s="458"/>
      <c r="L242" s="458"/>
      <c r="M242" s="458"/>
      <c r="N242" s="458"/>
      <c r="O242" s="458"/>
      <c r="P242" s="458"/>
      <c r="Q242" s="458"/>
      <c r="R242" s="458"/>
      <c r="S242" s="458"/>
      <c r="T242" s="458"/>
      <c r="U242" s="458"/>
      <c r="V242" s="458"/>
      <c r="W242" s="458"/>
    </row>
    <row r="243" spans="1:23" ht="15.75" customHeight="1">
      <c r="A243" s="458"/>
      <c r="B243" s="458"/>
      <c r="C243" s="458"/>
      <c r="D243" s="458"/>
      <c r="E243" s="458"/>
      <c r="F243" s="458"/>
      <c r="G243" s="458"/>
      <c r="H243" s="458"/>
      <c r="I243" s="458"/>
      <c r="J243" s="458"/>
      <c r="K243" s="458"/>
      <c r="L243" s="458"/>
      <c r="M243" s="458"/>
      <c r="N243" s="458"/>
      <c r="O243" s="458"/>
      <c r="P243" s="458"/>
      <c r="Q243" s="458"/>
      <c r="R243" s="458"/>
      <c r="S243" s="458"/>
      <c r="T243" s="458"/>
      <c r="U243" s="458"/>
      <c r="V243" s="458"/>
      <c r="W243" s="458"/>
    </row>
    <row r="244" spans="1:23" ht="15.75" customHeight="1">
      <c r="A244" s="458"/>
      <c r="B244" s="458"/>
      <c r="C244" s="458"/>
      <c r="D244" s="458"/>
      <c r="E244" s="458"/>
      <c r="F244" s="458"/>
      <c r="G244" s="458"/>
      <c r="H244" s="458"/>
      <c r="I244" s="458"/>
      <c r="J244" s="458"/>
      <c r="K244" s="458"/>
      <c r="L244" s="458"/>
      <c r="M244" s="458"/>
      <c r="N244" s="458"/>
      <c r="O244" s="458"/>
      <c r="P244" s="458"/>
      <c r="Q244" s="458"/>
      <c r="R244" s="458"/>
      <c r="S244" s="458"/>
      <c r="T244" s="458"/>
      <c r="U244" s="458"/>
      <c r="V244" s="458"/>
      <c r="W244" s="458"/>
    </row>
    <row r="245" spans="1:23" ht="15.75" customHeight="1">
      <c r="A245" s="458"/>
      <c r="B245" s="458"/>
      <c r="C245" s="458"/>
      <c r="D245" s="458"/>
      <c r="E245" s="458"/>
      <c r="F245" s="458"/>
      <c r="G245" s="458"/>
      <c r="H245" s="458"/>
      <c r="I245" s="458"/>
      <c r="J245" s="458"/>
      <c r="K245" s="458"/>
      <c r="L245" s="458"/>
      <c r="M245" s="458"/>
      <c r="N245" s="458"/>
      <c r="O245" s="458"/>
      <c r="P245" s="458"/>
      <c r="Q245" s="458"/>
      <c r="R245" s="458"/>
      <c r="S245" s="458"/>
      <c r="T245" s="458"/>
      <c r="U245" s="458"/>
      <c r="V245" s="458"/>
      <c r="W245" s="458"/>
    </row>
    <row r="246" spans="1:23" ht="15.75" customHeight="1">
      <c r="A246" s="458"/>
      <c r="B246" s="458"/>
      <c r="C246" s="458"/>
      <c r="D246" s="458"/>
      <c r="E246" s="458"/>
      <c r="F246" s="458"/>
      <c r="G246" s="458"/>
      <c r="H246" s="458"/>
      <c r="I246" s="458"/>
      <c r="J246" s="458"/>
      <c r="K246" s="458"/>
      <c r="L246" s="458"/>
      <c r="M246" s="458"/>
      <c r="N246" s="458"/>
      <c r="O246" s="458"/>
      <c r="P246" s="458"/>
      <c r="Q246" s="458"/>
      <c r="R246" s="458"/>
      <c r="S246" s="458"/>
      <c r="T246" s="458"/>
      <c r="U246" s="458"/>
      <c r="V246" s="458"/>
      <c r="W246" s="458"/>
    </row>
    <row r="247" spans="1:23" ht="15.75" customHeight="1">
      <c r="A247" s="458"/>
      <c r="B247" s="458"/>
      <c r="C247" s="458"/>
      <c r="D247" s="458"/>
      <c r="E247" s="458"/>
      <c r="F247" s="458"/>
      <c r="G247" s="458"/>
      <c r="H247" s="458"/>
      <c r="I247" s="458"/>
      <c r="J247" s="458"/>
      <c r="K247" s="458"/>
      <c r="L247" s="458"/>
      <c r="M247" s="458"/>
      <c r="N247" s="458"/>
      <c r="O247" s="458"/>
      <c r="P247" s="458"/>
      <c r="Q247" s="458"/>
      <c r="R247" s="458"/>
      <c r="S247" s="458"/>
      <c r="T247" s="458"/>
      <c r="U247" s="458"/>
      <c r="V247" s="458"/>
      <c r="W247" s="458"/>
    </row>
    <row r="248" spans="1:23" ht="15.75" customHeight="1">
      <c r="A248" s="458"/>
      <c r="B248" s="458"/>
      <c r="C248" s="458"/>
      <c r="D248" s="458"/>
      <c r="E248" s="458"/>
      <c r="F248" s="458"/>
      <c r="G248" s="458"/>
      <c r="H248" s="458"/>
      <c r="I248" s="458"/>
      <c r="J248" s="458"/>
      <c r="K248" s="458"/>
      <c r="L248" s="458"/>
      <c r="M248" s="458"/>
      <c r="N248" s="458"/>
      <c r="O248" s="458"/>
      <c r="P248" s="458"/>
      <c r="Q248" s="458"/>
      <c r="R248" s="458"/>
      <c r="S248" s="458"/>
      <c r="T248" s="458"/>
      <c r="U248" s="458"/>
      <c r="V248" s="458"/>
      <c r="W248" s="458"/>
    </row>
    <row r="249" spans="1:23" ht="15.75" customHeight="1">
      <c r="A249" s="458"/>
      <c r="B249" s="458"/>
      <c r="C249" s="458"/>
      <c r="D249" s="458"/>
      <c r="E249" s="458"/>
      <c r="F249" s="458"/>
      <c r="G249" s="458"/>
      <c r="H249" s="458"/>
      <c r="I249" s="458"/>
      <c r="J249" s="458"/>
      <c r="K249" s="458"/>
      <c r="L249" s="458"/>
      <c r="M249" s="458"/>
      <c r="N249" s="458"/>
      <c r="O249" s="458"/>
      <c r="P249" s="458"/>
      <c r="Q249" s="458"/>
      <c r="R249" s="458"/>
      <c r="S249" s="458"/>
      <c r="T249" s="458"/>
      <c r="U249" s="458"/>
      <c r="V249" s="458"/>
      <c r="W249" s="458"/>
    </row>
    <row r="250" spans="1:23" ht="15.75" customHeight="1">
      <c r="A250" s="458"/>
      <c r="B250" s="458"/>
      <c r="C250" s="458"/>
      <c r="D250" s="458"/>
      <c r="E250" s="458"/>
      <c r="F250" s="458"/>
      <c r="G250" s="458"/>
      <c r="H250" s="458"/>
      <c r="I250" s="458"/>
      <c r="J250" s="458"/>
      <c r="K250" s="458"/>
      <c r="L250" s="458"/>
      <c r="M250" s="458"/>
      <c r="N250" s="458"/>
      <c r="O250" s="458"/>
      <c r="P250" s="458"/>
      <c r="Q250" s="458"/>
      <c r="R250" s="458"/>
      <c r="S250" s="458"/>
      <c r="T250" s="458"/>
      <c r="U250" s="458"/>
      <c r="V250" s="458"/>
      <c r="W250" s="458"/>
    </row>
    <row r="251" spans="1:23" ht="15.75" customHeight="1">
      <c r="A251" s="458"/>
      <c r="B251" s="458"/>
      <c r="C251" s="458"/>
      <c r="D251" s="458"/>
      <c r="E251" s="458"/>
      <c r="F251" s="458"/>
      <c r="G251" s="458"/>
      <c r="H251" s="458"/>
      <c r="I251" s="458"/>
      <c r="J251" s="458"/>
      <c r="K251" s="458"/>
      <c r="L251" s="458"/>
      <c r="M251" s="458"/>
      <c r="N251" s="458"/>
      <c r="O251" s="458"/>
      <c r="P251" s="458"/>
      <c r="Q251" s="458"/>
      <c r="R251" s="458"/>
      <c r="S251" s="458"/>
      <c r="T251" s="458"/>
      <c r="U251" s="458"/>
      <c r="V251" s="458"/>
      <c r="W251" s="458"/>
    </row>
    <row r="252" spans="1:23" ht="15.75" customHeight="1">
      <c r="A252" s="458"/>
      <c r="B252" s="458"/>
      <c r="C252" s="458"/>
      <c r="D252" s="458"/>
      <c r="E252" s="458"/>
      <c r="F252" s="458"/>
      <c r="G252" s="458"/>
      <c r="H252" s="458"/>
      <c r="I252" s="458"/>
      <c r="J252" s="458"/>
      <c r="K252" s="458"/>
      <c r="L252" s="458"/>
      <c r="M252" s="458"/>
      <c r="N252" s="458"/>
      <c r="O252" s="458"/>
      <c r="P252" s="458"/>
      <c r="Q252" s="458"/>
      <c r="R252" s="458"/>
      <c r="S252" s="458"/>
      <c r="T252" s="458"/>
      <c r="U252" s="458"/>
      <c r="V252" s="458"/>
      <c r="W252" s="458"/>
    </row>
    <row r="253" spans="1:23" ht="15.75" customHeight="1">
      <c r="A253" s="458"/>
      <c r="B253" s="458"/>
      <c r="C253" s="458"/>
      <c r="D253" s="458"/>
      <c r="E253" s="458"/>
      <c r="F253" s="458"/>
      <c r="G253" s="458"/>
      <c r="H253" s="458"/>
      <c r="I253" s="458"/>
      <c r="J253" s="458"/>
      <c r="K253" s="458"/>
      <c r="L253" s="458"/>
      <c r="M253" s="458"/>
      <c r="N253" s="458"/>
      <c r="O253" s="458"/>
      <c r="P253" s="458"/>
      <c r="Q253" s="458"/>
      <c r="R253" s="458"/>
      <c r="S253" s="458"/>
      <c r="T253" s="458"/>
      <c r="U253" s="458"/>
      <c r="V253" s="458"/>
      <c r="W253" s="458"/>
    </row>
    <row r="254" spans="1:23" ht="15.75" customHeight="1">
      <c r="A254" s="458"/>
      <c r="B254" s="458"/>
      <c r="C254" s="458"/>
      <c r="D254" s="458"/>
      <c r="E254" s="458"/>
      <c r="F254" s="458"/>
      <c r="G254" s="458"/>
      <c r="H254" s="458"/>
      <c r="I254" s="458"/>
      <c r="J254" s="458"/>
      <c r="K254" s="458"/>
      <c r="L254" s="458"/>
      <c r="M254" s="458"/>
      <c r="N254" s="458"/>
      <c r="O254" s="458"/>
      <c r="P254" s="458"/>
      <c r="Q254" s="458"/>
      <c r="R254" s="458"/>
      <c r="S254" s="458"/>
      <c r="T254" s="458"/>
      <c r="U254" s="458"/>
      <c r="V254" s="458"/>
      <c r="W254" s="458"/>
    </row>
    <row r="255" spans="1:23" ht="15.75" customHeight="1">
      <c r="A255" s="458"/>
      <c r="B255" s="458"/>
      <c r="C255" s="458"/>
      <c r="D255" s="458"/>
      <c r="E255" s="458"/>
      <c r="F255" s="458"/>
      <c r="G255" s="458"/>
      <c r="H255" s="458"/>
      <c r="I255" s="458"/>
      <c r="J255" s="458"/>
      <c r="K255" s="458"/>
      <c r="L255" s="458"/>
      <c r="M255" s="458"/>
      <c r="N255" s="458"/>
      <c r="O255" s="458"/>
      <c r="P255" s="458"/>
      <c r="Q255" s="458"/>
      <c r="R255" s="458"/>
      <c r="S255" s="458"/>
      <c r="T255" s="458"/>
      <c r="U255" s="458"/>
      <c r="V255" s="458"/>
      <c r="W255" s="458"/>
    </row>
    <row r="256" spans="1:23" ht="15.75" customHeight="1">
      <c r="A256" s="458"/>
      <c r="B256" s="458"/>
      <c r="C256" s="458"/>
      <c r="D256" s="458"/>
      <c r="E256" s="458"/>
      <c r="F256" s="458"/>
      <c r="G256" s="458"/>
      <c r="H256" s="458"/>
      <c r="I256" s="458"/>
      <c r="J256" s="458"/>
      <c r="K256" s="458"/>
      <c r="L256" s="458"/>
      <c r="M256" s="458"/>
      <c r="N256" s="458"/>
      <c r="O256" s="458"/>
      <c r="P256" s="458"/>
      <c r="Q256" s="458"/>
      <c r="R256" s="458"/>
      <c r="S256" s="458"/>
      <c r="T256" s="458"/>
      <c r="U256" s="458"/>
      <c r="V256" s="458"/>
      <c r="W256" s="458"/>
    </row>
    <row r="257" spans="1:23" ht="15.75" customHeight="1">
      <c r="A257" s="458"/>
      <c r="B257" s="458"/>
      <c r="C257" s="458"/>
      <c r="D257" s="458"/>
      <c r="E257" s="458"/>
      <c r="F257" s="458"/>
      <c r="G257" s="458"/>
      <c r="H257" s="458"/>
      <c r="I257" s="458"/>
      <c r="J257" s="458"/>
      <c r="K257" s="458"/>
      <c r="L257" s="458"/>
      <c r="M257" s="458"/>
      <c r="N257" s="458"/>
      <c r="O257" s="458"/>
      <c r="P257" s="458"/>
      <c r="Q257" s="458"/>
      <c r="R257" s="458"/>
      <c r="S257" s="458"/>
      <c r="T257" s="458"/>
      <c r="U257" s="458"/>
      <c r="V257" s="458"/>
      <c r="W257" s="458"/>
    </row>
    <row r="258" spans="1:23" ht="15.75" customHeight="1">
      <c r="A258" s="458"/>
      <c r="B258" s="458"/>
      <c r="C258" s="458"/>
      <c r="D258" s="458"/>
      <c r="E258" s="458"/>
      <c r="F258" s="458"/>
      <c r="G258" s="458"/>
      <c r="H258" s="458"/>
      <c r="I258" s="458"/>
      <c r="J258" s="458"/>
      <c r="K258" s="458"/>
      <c r="L258" s="458"/>
      <c r="M258" s="458"/>
      <c r="N258" s="458"/>
      <c r="O258" s="458"/>
      <c r="P258" s="458"/>
      <c r="Q258" s="458"/>
      <c r="R258" s="458"/>
      <c r="S258" s="458"/>
      <c r="T258" s="458"/>
      <c r="U258" s="458"/>
      <c r="V258" s="458"/>
      <c r="W258" s="458"/>
    </row>
    <row r="259" spans="1:23" ht="15.75" customHeight="1">
      <c r="A259" s="458"/>
      <c r="B259" s="458"/>
      <c r="C259" s="458"/>
      <c r="D259" s="458"/>
      <c r="E259" s="458"/>
      <c r="F259" s="458"/>
      <c r="G259" s="458"/>
      <c r="H259" s="458"/>
      <c r="I259" s="458"/>
      <c r="J259" s="458"/>
      <c r="K259" s="458"/>
      <c r="L259" s="458"/>
      <c r="M259" s="458"/>
      <c r="N259" s="458"/>
      <c r="O259" s="458"/>
      <c r="P259" s="458"/>
      <c r="Q259" s="458"/>
      <c r="R259" s="458"/>
      <c r="S259" s="458"/>
      <c r="T259" s="458"/>
      <c r="U259" s="458"/>
      <c r="V259" s="458"/>
      <c r="W259" s="458"/>
    </row>
    <row r="260" spans="1:23" ht="15.75" customHeight="1">
      <c r="A260" s="458"/>
      <c r="B260" s="458"/>
      <c r="C260" s="458"/>
      <c r="D260" s="458"/>
      <c r="E260" s="458"/>
      <c r="F260" s="458"/>
      <c r="G260" s="458"/>
      <c r="H260" s="458"/>
      <c r="I260" s="458"/>
      <c r="J260" s="458"/>
      <c r="K260" s="458"/>
      <c r="L260" s="458"/>
      <c r="M260" s="458"/>
      <c r="N260" s="458"/>
      <c r="O260" s="458"/>
      <c r="P260" s="458"/>
      <c r="Q260" s="458"/>
      <c r="R260" s="458"/>
      <c r="S260" s="458"/>
      <c r="T260" s="458"/>
      <c r="U260" s="458"/>
      <c r="V260" s="458"/>
      <c r="W260" s="458"/>
    </row>
    <row r="261" spans="1:23" ht="15.75" customHeight="1">
      <c r="A261" s="458"/>
      <c r="B261" s="458"/>
      <c r="C261" s="458"/>
      <c r="D261" s="458"/>
      <c r="E261" s="458"/>
      <c r="F261" s="458"/>
      <c r="G261" s="458"/>
      <c r="H261" s="458"/>
      <c r="I261" s="458"/>
      <c r="J261" s="458"/>
      <c r="K261" s="458"/>
      <c r="L261" s="458"/>
      <c r="M261" s="458"/>
      <c r="N261" s="458"/>
      <c r="O261" s="458"/>
      <c r="P261" s="458"/>
      <c r="Q261" s="458"/>
      <c r="R261" s="458"/>
      <c r="S261" s="458"/>
      <c r="T261" s="458"/>
      <c r="U261" s="458"/>
      <c r="V261" s="458"/>
      <c r="W261" s="458"/>
    </row>
    <row r="262" spans="1:23" ht="15.75" customHeight="1">
      <c r="A262" s="458"/>
      <c r="B262" s="458"/>
      <c r="C262" s="458"/>
      <c r="D262" s="458"/>
      <c r="E262" s="458"/>
      <c r="F262" s="458"/>
      <c r="G262" s="458"/>
      <c r="H262" s="458"/>
      <c r="I262" s="458"/>
      <c r="J262" s="458"/>
      <c r="K262" s="458"/>
      <c r="L262" s="458"/>
      <c r="M262" s="458"/>
      <c r="N262" s="458"/>
      <c r="O262" s="458"/>
      <c r="P262" s="458"/>
      <c r="Q262" s="458"/>
      <c r="R262" s="458"/>
      <c r="S262" s="458"/>
      <c r="T262" s="458"/>
      <c r="U262" s="458"/>
      <c r="V262" s="458"/>
      <c r="W262" s="458"/>
    </row>
    <row r="263" spans="1:23" ht="15.75" customHeight="1">
      <c r="A263" s="458"/>
      <c r="B263" s="458"/>
      <c r="C263" s="458"/>
      <c r="D263" s="458"/>
      <c r="E263" s="458"/>
      <c r="F263" s="458"/>
      <c r="G263" s="458"/>
      <c r="H263" s="458"/>
      <c r="I263" s="458"/>
      <c r="J263" s="458"/>
      <c r="K263" s="458"/>
      <c r="L263" s="458"/>
      <c r="M263" s="458"/>
      <c r="N263" s="458"/>
      <c r="O263" s="458"/>
      <c r="P263" s="458"/>
      <c r="Q263" s="458"/>
      <c r="R263" s="458"/>
      <c r="S263" s="458"/>
      <c r="T263" s="458"/>
      <c r="U263" s="458"/>
      <c r="V263" s="458"/>
      <c r="W263" s="458"/>
    </row>
    <row r="264" spans="1:23" ht="15.75" customHeight="1">
      <c r="A264" s="458"/>
      <c r="B264" s="458"/>
      <c r="C264" s="458"/>
      <c r="D264" s="458"/>
      <c r="E264" s="458"/>
      <c r="F264" s="458"/>
      <c r="G264" s="458"/>
      <c r="H264" s="458"/>
      <c r="I264" s="458"/>
      <c r="J264" s="458"/>
      <c r="K264" s="458"/>
      <c r="L264" s="458"/>
      <c r="M264" s="458"/>
      <c r="N264" s="458"/>
      <c r="O264" s="458"/>
      <c r="P264" s="458"/>
      <c r="Q264" s="458"/>
      <c r="R264" s="458"/>
      <c r="S264" s="458"/>
      <c r="T264" s="458"/>
      <c r="U264" s="458"/>
      <c r="V264" s="458"/>
      <c r="W264" s="458"/>
    </row>
    <row r="265" spans="1:23" ht="15.75" customHeight="1">
      <c r="A265" s="458"/>
      <c r="B265" s="458"/>
      <c r="C265" s="458"/>
      <c r="D265" s="458"/>
      <c r="E265" s="458"/>
      <c r="F265" s="458"/>
      <c r="G265" s="458"/>
      <c r="H265" s="458"/>
      <c r="I265" s="458"/>
      <c r="J265" s="458"/>
      <c r="K265" s="458"/>
      <c r="L265" s="458"/>
      <c r="M265" s="458"/>
      <c r="N265" s="458"/>
      <c r="O265" s="458"/>
      <c r="P265" s="458"/>
      <c r="Q265" s="458"/>
      <c r="R265" s="458"/>
      <c r="S265" s="458"/>
      <c r="T265" s="458"/>
      <c r="U265" s="458"/>
      <c r="V265" s="458"/>
      <c r="W265" s="458"/>
    </row>
    <row r="266" spans="1:23" ht="15.75" customHeight="1">
      <c r="A266" s="458"/>
      <c r="B266" s="458"/>
      <c r="C266" s="458"/>
      <c r="D266" s="458"/>
      <c r="E266" s="458"/>
      <c r="F266" s="458"/>
      <c r="G266" s="458"/>
      <c r="H266" s="458"/>
      <c r="I266" s="458"/>
      <c r="J266" s="458"/>
      <c r="K266" s="458"/>
      <c r="L266" s="458"/>
      <c r="M266" s="458"/>
      <c r="N266" s="458"/>
      <c r="O266" s="458"/>
      <c r="P266" s="458"/>
      <c r="Q266" s="458"/>
      <c r="R266" s="458"/>
      <c r="S266" s="458"/>
      <c r="T266" s="458"/>
      <c r="U266" s="458"/>
      <c r="V266" s="458"/>
      <c r="W266" s="458"/>
    </row>
    <row r="267" spans="1:23" ht="15.75" customHeight="1">
      <c r="A267" s="458"/>
      <c r="B267" s="458"/>
      <c r="C267" s="458"/>
      <c r="D267" s="458"/>
      <c r="E267" s="458"/>
      <c r="F267" s="458"/>
      <c r="G267" s="458"/>
      <c r="H267" s="458"/>
      <c r="I267" s="458"/>
      <c r="J267" s="458"/>
      <c r="K267" s="458"/>
      <c r="L267" s="458"/>
      <c r="M267" s="458"/>
      <c r="N267" s="458"/>
      <c r="O267" s="458"/>
      <c r="P267" s="458"/>
      <c r="Q267" s="458"/>
      <c r="R267" s="458"/>
      <c r="S267" s="458"/>
      <c r="T267" s="458"/>
      <c r="U267" s="458"/>
      <c r="V267" s="458"/>
      <c r="W267" s="458"/>
    </row>
    <row r="268" spans="1:23" ht="15.75" customHeight="1">
      <c r="A268" s="458"/>
      <c r="B268" s="458"/>
      <c r="C268" s="458"/>
      <c r="D268" s="458"/>
      <c r="E268" s="458"/>
      <c r="F268" s="458"/>
      <c r="G268" s="458"/>
      <c r="H268" s="458"/>
      <c r="I268" s="458"/>
      <c r="J268" s="458"/>
      <c r="K268" s="458"/>
      <c r="L268" s="458"/>
      <c r="M268" s="458"/>
      <c r="N268" s="458"/>
      <c r="O268" s="458"/>
      <c r="P268" s="458"/>
      <c r="Q268" s="458"/>
      <c r="R268" s="458"/>
      <c r="S268" s="458"/>
      <c r="T268" s="458"/>
      <c r="U268" s="458"/>
      <c r="V268" s="458"/>
      <c r="W268" s="458"/>
    </row>
    <row r="269" spans="1:23" ht="15.75" customHeight="1">
      <c r="A269" s="458"/>
      <c r="B269" s="458"/>
      <c r="C269" s="458"/>
      <c r="D269" s="458"/>
      <c r="E269" s="458"/>
      <c r="F269" s="458"/>
      <c r="G269" s="458"/>
      <c r="H269" s="458"/>
      <c r="I269" s="458"/>
      <c r="J269" s="458"/>
      <c r="K269" s="458"/>
      <c r="L269" s="458"/>
      <c r="M269" s="458"/>
      <c r="N269" s="458"/>
      <c r="O269" s="458"/>
      <c r="P269" s="458"/>
      <c r="Q269" s="458"/>
      <c r="R269" s="458"/>
      <c r="S269" s="458"/>
      <c r="T269" s="458"/>
      <c r="U269" s="458"/>
      <c r="V269" s="458"/>
      <c r="W269" s="458"/>
    </row>
    <row r="270" spans="1:23" ht="15.75" customHeight="1">
      <c r="A270" s="458"/>
      <c r="B270" s="458"/>
      <c r="C270" s="458"/>
      <c r="D270" s="458"/>
      <c r="E270" s="458"/>
      <c r="F270" s="458"/>
      <c r="G270" s="458"/>
      <c r="H270" s="458"/>
      <c r="I270" s="458"/>
      <c r="J270" s="458"/>
      <c r="K270" s="458"/>
      <c r="L270" s="458"/>
      <c r="M270" s="458"/>
      <c r="N270" s="458"/>
      <c r="O270" s="458"/>
      <c r="P270" s="458"/>
      <c r="Q270" s="458"/>
      <c r="R270" s="458"/>
      <c r="S270" s="458"/>
      <c r="T270" s="458"/>
      <c r="U270" s="458"/>
      <c r="V270" s="458"/>
      <c r="W270" s="458"/>
    </row>
    <row r="271" spans="1:23" ht="15.75" customHeight="1">
      <c r="A271" s="458"/>
      <c r="B271" s="458"/>
      <c r="C271" s="458"/>
      <c r="D271" s="458"/>
      <c r="E271" s="458"/>
      <c r="F271" s="458"/>
      <c r="G271" s="458"/>
      <c r="H271" s="458"/>
      <c r="I271" s="458"/>
      <c r="J271" s="458"/>
      <c r="K271" s="458"/>
      <c r="L271" s="458"/>
      <c r="M271" s="458"/>
      <c r="N271" s="458"/>
      <c r="O271" s="458"/>
      <c r="P271" s="458"/>
      <c r="Q271" s="458"/>
      <c r="R271" s="458"/>
      <c r="S271" s="458"/>
      <c r="T271" s="458"/>
      <c r="U271" s="458"/>
      <c r="V271" s="458"/>
      <c r="W271" s="458"/>
    </row>
    <row r="272" spans="1:23" ht="15.75" customHeight="1">
      <c r="A272" s="458"/>
      <c r="B272" s="458"/>
      <c r="C272" s="458"/>
      <c r="D272" s="458"/>
      <c r="E272" s="458"/>
      <c r="F272" s="458"/>
      <c r="G272" s="458"/>
      <c r="H272" s="458"/>
      <c r="I272" s="458"/>
      <c r="J272" s="458"/>
      <c r="K272" s="458"/>
      <c r="L272" s="458"/>
      <c r="M272" s="458"/>
      <c r="N272" s="458"/>
      <c r="O272" s="458"/>
      <c r="P272" s="458"/>
      <c r="Q272" s="458"/>
      <c r="R272" s="458"/>
      <c r="S272" s="458"/>
      <c r="T272" s="458"/>
      <c r="U272" s="458"/>
      <c r="V272" s="458"/>
      <c r="W272" s="458"/>
    </row>
    <row r="273" spans="1:23" ht="15.75" customHeight="1">
      <c r="A273" s="458"/>
      <c r="B273" s="458"/>
      <c r="C273" s="458"/>
      <c r="D273" s="458"/>
      <c r="E273" s="458"/>
      <c r="F273" s="458"/>
      <c r="G273" s="458"/>
      <c r="H273" s="458"/>
      <c r="I273" s="458"/>
      <c r="J273" s="458"/>
      <c r="K273" s="458"/>
      <c r="L273" s="458"/>
      <c r="M273" s="458"/>
      <c r="N273" s="458"/>
      <c r="O273" s="458"/>
      <c r="P273" s="458"/>
      <c r="Q273" s="458"/>
      <c r="R273" s="458"/>
      <c r="S273" s="458"/>
      <c r="T273" s="458"/>
      <c r="U273" s="458"/>
      <c r="V273" s="458"/>
      <c r="W273" s="458"/>
    </row>
    <row r="274" spans="1:23" ht="15.75" customHeight="1">
      <c r="A274" s="458"/>
      <c r="B274" s="458"/>
      <c r="C274" s="458"/>
      <c r="D274" s="458"/>
      <c r="E274" s="458"/>
      <c r="F274" s="458"/>
      <c r="G274" s="458"/>
      <c r="H274" s="458"/>
      <c r="I274" s="458"/>
      <c r="J274" s="458"/>
      <c r="K274" s="458"/>
      <c r="L274" s="458"/>
      <c r="M274" s="458"/>
      <c r="N274" s="458"/>
      <c r="O274" s="458"/>
      <c r="P274" s="458"/>
      <c r="Q274" s="458"/>
      <c r="R274" s="458"/>
      <c r="S274" s="458"/>
      <c r="T274" s="458"/>
      <c r="U274" s="458"/>
      <c r="V274" s="458"/>
      <c r="W274" s="458"/>
    </row>
    <row r="275" spans="1:23" ht="15.75" customHeight="1">
      <c r="A275" s="458"/>
      <c r="B275" s="458"/>
      <c r="C275" s="458"/>
      <c r="D275" s="458"/>
      <c r="E275" s="458"/>
      <c r="F275" s="458"/>
      <c r="G275" s="458"/>
      <c r="H275" s="458"/>
      <c r="I275" s="458"/>
      <c r="J275" s="458"/>
      <c r="K275" s="458"/>
      <c r="L275" s="458"/>
      <c r="M275" s="458"/>
      <c r="N275" s="458"/>
      <c r="O275" s="458"/>
      <c r="P275" s="458"/>
      <c r="Q275" s="458"/>
      <c r="R275" s="458"/>
      <c r="S275" s="458"/>
      <c r="T275" s="458"/>
      <c r="U275" s="458"/>
      <c r="V275" s="458"/>
      <c r="W275" s="458"/>
    </row>
    <row r="276" spans="1:23" ht="15.75" customHeight="1">
      <c r="A276" s="458"/>
      <c r="B276" s="458"/>
      <c r="C276" s="458"/>
      <c r="D276" s="458"/>
      <c r="E276" s="458"/>
      <c r="F276" s="458"/>
      <c r="G276" s="458"/>
      <c r="H276" s="458"/>
      <c r="I276" s="458"/>
      <c r="J276" s="458"/>
      <c r="K276" s="458"/>
      <c r="L276" s="458"/>
      <c r="M276" s="458"/>
      <c r="N276" s="458"/>
      <c r="O276" s="458"/>
      <c r="P276" s="458"/>
      <c r="Q276" s="458"/>
      <c r="R276" s="458"/>
      <c r="S276" s="458"/>
      <c r="T276" s="458"/>
      <c r="U276" s="458"/>
      <c r="V276" s="458"/>
      <c r="W276" s="458"/>
    </row>
    <row r="277" spans="1:23" ht="15.75" customHeight="1">
      <c r="A277" s="458"/>
      <c r="B277" s="458"/>
      <c r="C277" s="458"/>
      <c r="D277" s="458"/>
      <c r="E277" s="458"/>
      <c r="F277" s="458"/>
      <c r="G277" s="458"/>
      <c r="H277" s="458"/>
      <c r="I277" s="458"/>
      <c r="J277" s="458"/>
      <c r="K277" s="458"/>
      <c r="L277" s="458"/>
      <c r="M277" s="458"/>
      <c r="N277" s="458"/>
      <c r="O277" s="458"/>
      <c r="P277" s="458"/>
      <c r="Q277" s="458"/>
      <c r="R277" s="458"/>
      <c r="S277" s="458"/>
      <c r="T277" s="458"/>
      <c r="U277" s="458"/>
      <c r="V277" s="458"/>
      <c r="W277" s="458"/>
    </row>
    <row r="278" spans="1:23" ht="15.75" customHeight="1">
      <c r="A278" s="458"/>
      <c r="B278" s="458"/>
      <c r="C278" s="458"/>
      <c r="D278" s="458"/>
      <c r="E278" s="458"/>
      <c r="F278" s="458"/>
      <c r="G278" s="458"/>
      <c r="H278" s="458"/>
      <c r="I278" s="458"/>
      <c r="J278" s="458"/>
      <c r="K278" s="458"/>
      <c r="L278" s="458"/>
      <c r="M278" s="458"/>
      <c r="N278" s="458"/>
      <c r="O278" s="458"/>
      <c r="P278" s="458"/>
      <c r="Q278" s="458"/>
      <c r="R278" s="458"/>
      <c r="S278" s="458"/>
      <c r="T278" s="458"/>
      <c r="U278" s="458"/>
      <c r="V278" s="458"/>
      <c r="W278" s="458"/>
    </row>
    <row r="279" spans="1:23" ht="15.75" customHeight="1">
      <c r="A279" s="458"/>
      <c r="B279" s="458"/>
      <c r="C279" s="458"/>
      <c r="D279" s="458"/>
      <c r="E279" s="458"/>
      <c r="F279" s="458"/>
      <c r="G279" s="458"/>
      <c r="H279" s="458"/>
      <c r="I279" s="458"/>
      <c r="J279" s="458"/>
      <c r="K279" s="458"/>
      <c r="L279" s="458"/>
      <c r="M279" s="458"/>
      <c r="N279" s="458"/>
      <c r="O279" s="458"/>
      <c r="P279" s="458"/>
      <c r="Q279" s="458"/>
      <c r="R279" s="458"/>
      <c r="S279" s="458"/>
      <c r="T279" s="458"/>
      <c r="U279" s="458"/>
      <c r="V279" s="458"/>
      <c r="W279" s="458"/>
    </row>
    <row r="280" spans="1:23" ht="15.75" customHeight="1">
      <c r="A280" s="458"/>
      <c r="B280" s="458"/>
      <c r="C280" s="458"/>
      <c r="D280" s="458"/>
      <c r="E280" s="458"/>
      <c r="F280" s="458"/>
      <c r="G280" s="458"/>
      <c r="H280" s="458"/>
      <c r="I280" s="458"/>
      <c r="J280" s="458"/>
      <c r="K280" s="458"/>
      <c r="L280" s="458"/>
      <c r="M280" s="458"/>
      <c r="N280" s="458"/>
      <c r="O280" s="458"/>
      <c r="P280" s="458"/>
      <c r="Q280" s="458"/>
      <c r="R280" s="458"/>
      <c r="S280" s="458"/>
      <c r="T280" s="458"/>
      <c r="U280" s="458"/>
      <c r="V280" s="458"/>
      <c r="W280" s="458"/>
    </row>
    <row r="281" spans="1:23" ht="15.75" customHeight="1">
      <c r="A281" s="458"/>
      <c r="B281" s="458"/>
      <c r="C281" s="458"/>
      <c r="D281" s="458"/>
      <c r="E281" s="458"/>
      <c r="F281" s="458"/>
      <c r="G281" s="458"/>
      <c r="H281" s="458"/>
      <c r="I281" s="458"/>
      <c r="J281" s="458"/>
      <c r="K281" s="458"/>
      <c r="L281" s="458"/>
      <c r="M281" s="458"/>
      <c r="N281" s="458"/>
      <c r="O281" s="458"/>
      <c r="P281" s="458"/>
      <c r="Q281" s="458"/>
      <c r="R281" s="458"/>
      <c r="S281" s="458"/>
      <c r="T281" s="458"/>
      <c r="U281" s="458"/>
      <c r="V281" s="458"/>
      <c r="W281" s="458"/>
    </row>
    <row r="282" spans="1:23" ht="15.75" customHeight="1">
      <c r="A282" s="458"/>
      <c r="B282" s="458"/>
      <c r="C282" s="458"/>
      <c r="D282" s="458"/>
      <c r="E282" s="458"/>
      <c r="F282" s="458"/>
      <c r="G282" s="458"/>
      <c r="H282" s="458"/>
      <c r="I282" s="458"/>
      <c r="J282" s="458"/>
      <c r="K282" s="458"/>
      <c r="L282" s="458"/>
      <c r="M282" s="458"/>
      <c r="N282" s="458"/>
      <c r="O282" s="458"/>
      <c r="P282" s="458"/>
      <c r="Q282" s="458"/>
      <c r="R282" s="458"/>
      <c r="S282" s="458"/>
      <c r="T282" s="458"/>
      <c r="U282" s="458"/>
      <c r="V282" s="458"/>
      <c r="W282" s="458"/>
    </row>
    <row r="283" spans="1:23" ht="15.75" customHeight="1">
      <c r="A283" s="458"/>
      <c r="B283" s="458"/>
      <c r="C283" s="458"/>
      <c r="D283" s="458"/>
      <c r="E283" s="458"/>
      <c r="F283" s="458"/>
      <c r="G283" s="458"/>
      <c r="H283" s="458"/>
      <c r="I283" s="458"/>
      <c r="J283" s="458"/>
      <c r="K283" s="458"/>
      <c r="L283" s="458"/>
      <c r="M283" s="458"/>
      <c r="N283" s="458"/>
      <c r="O283" s="458"/>
      <c r="P283" s="458"/>
      <c r="Q283" s="458"/>
      <c r="R283" s="458"/>
      <c r="S283" s="458"/>
      <c r="T283" s="458"/>
      <c r="U283" s="458"/>
      <c r="V283" s="458"/>
      <c r="W283" s="458"/>
    </row>
    <row r="284" spans="1:23" ht="15.75" customHeight="1">
      <c r="A284" s="458"/>
      <c r="B284" s="458"/>
      <c r="C284" s="458"/>
      <c r="D284" s="458"/>
      <c r="E284" s="458"/>
      <c r="F284" s="458"/>
      <c r="G284" s="458"/>
      <c r="H284" s="458"/>
      <c r="I284" s="458"/>
      <c r="J284" s="458"/>
      <c r="K284" s="458"/>
      <c r="L284" s="458"/>
      <c r="M284" s="458"/>
      <c r="N284" s="458"/>
      <c r="O284" s="458"/>
      <c r="P284" s="458"/>
      <c r="Q284" s="458"/>
      <c r="R284" s="458"/>
      <c r="S284" s="458"/>
      <c r="T284" s="458"/>
      <c r="U284" s="458"/>
      <c r="V284" s="458"/>
      <c r="W284" s="458"/>
    </row>
    <row r="285" spans="1:23" ht="15.75" customHeight="1">
      <c r="A285" s="458"/>
      <c r="B285" s="458"/>
      <c r="C285" s="458"/>
      <c r="D285" s="458"/>
      <c r="E285" s="458"/>
      <c r="F285" s="458"/>
      <c r="G285" s="458"/>
      <c r="H285" s="458"/>
      <c r="I285" s="458"/>
      <c r="J285" s="458"/>
      <c r="K285" s="458"/>
      <c r="L285" s="458"/>
      <c r="M285" s="458"/>
      <c r="N285" s="458"/>
      <c r="O285" s="458"/>
      <c r="P285" s="458"/>
      <c r="Q285" s="458"/>
      <c r="R285" s="458"/>
      <c r="S285" s="458"/>
      <c r="T285" s="458"/>
      <c r="U285" s="458"/>
      <c r="V285" s="458"/>
      <c r="W285" s="458"/>
    </row>
    <row r="286" spans="1:23" ht="15.75" customHeight="1">
      <c r="A286" s="458"/>
      <c r="B286" s="458"/>
      <c r="C286" s="458"/>
      <c r="D286" s="458"/>
      <c r="E286" s="458"/>
      <c r="F286" s="458"/>
      <c r="G286" s="458"/>
      <c r="H286" s="458"/>
      <c r="I286" s="458"/>
      <c r="J286" s="458"/>
      <c r="K286" s="458"/>
      <c r="L286" s="458"/>
      <c r="M286" s="458"/>
      <c r="N286" s="458"/>
      <c r="O286" s="458"/>
      <c r="P286" s="458"/>
      <c r="Q286" s="458"/>
      <c r="R286" s="458"/>
      <c r="S286" s="458"/>
      <c r="T286" s="458"/>
      <c r="U286" s="458"/>
      <c r="V286" s="458"/>
      <c r="W286" s="458"/>
    </row>
    <row r="287" spans="1:23" ht="15.75" customHeight="1">
      <c r="A287" s="458"/>
      <c r="B287" s="458"/>
      <c r="C287" s="458"/>
      <c r="D287" s="458"/>
      <c r="E287" s="458"/>
      <c r="F287" s="458"/>
      <c r="G287" s="458"/>
      <c r="H287" s="458"/>
      <c r="I287" s="458"/>
      <c r="J287" s="458"/>
      <c r="K287" s="458"/>
      <c r="L287" s="458"/>
      <c r="M287" s="458"/>
      <c r="N287" s="458"/>
      <c r="O287" s="458"/>
      <c r="P287" s="458"/>
      <c r="Q287" s="458"/>
      <c r="R287" s="458"/>
      <c r="S287" s="458"/>
      <c r="T287" s="458"/>
      <c r="U287" s="458"/>
      <c r="V287" s="458"/>
      <c r="W287" s="458"/>
    </row>
    <row r="288" spans="1:23" ht="15.75" customHeight="1">
      <c r="A288" s="458"/>
      <c r="B288" s="458"/>
      <c r="C288" s="458"/>
      <c r="D288" s="458"/>
      <c r="E288" s="458"/>
      <c r="F288" s="458"/>
      <c r="G288" s="458"/>
      <c r="H288" s="458"/>
      <c r="I288" s="458"/>
      <c r="J288" s="458"/>
      <c r="K288" s="458"/>
      <c r="L288" s="458"/>
      <c r="M288" s="458"/>
      <c r="N288" s="458"/>
      <c r="O288" s="458"/>
      <c r="P288" s="458"/>
      <c r="Q288" s="458"/>
      <c r="R288" s="458"/>
      <c r="S288" s="458"/>
      <c r="T288" s="458"/>
      <c r="U288" s="458"/>
      <c r="V288" s="458"/>
      <c r="W288" s="458"/>
    </row>
    <row r="289" spans="1:23" ht="15.75" customHeight="1">
      <c r="A289" s="458"/>
      <c r="B289" s="458"/>
      <c r="C289" s="458"/>
      <c r="D289" s="458"/>
      <c r="E289" s="458"/>
      <c r="F289" s="458"/>
      <c r="G289" s="458"/>
      <c r="H289" s="458"/>
      <c r="I289" s="458"/>
      <c r="J289" s="458"/>
      <c r="K289" s="458"/>
      <c r="L289" s="458"/>
      <c r="M289" s="458"/>
      <c r="N289" s="458"/>
      <c r="O289" s="458"/>
      <c r="P289" s="458"/>
      <c r="Q289" s="458"/>
      <c r="R289" s="458"/>
      <c r="S289" s="458"/>
      <c r="T289" s="458"/>
      <c r="U289" s="458"/>
      <c r="V289" s="458"/>
      <c r="W289" s="458"/>
    </row>
    <row r="290" spans="1:23" ht="15.75" customHeight="1">
      <c r="A290" s="458"/>
      <c r="B290" s="458"/>
      <c r="C290" s="458"/>
      <c r="D290" s="458"/>
      <c r="E290" s="458"/>
      <c r="F290" s="458"/>
      <c r="G290" s="458"/>
      <c r="H290" s="458"/>
      <c r="I290" s="458"/>
      <c r="J290" s="458"/>
      <c r="K290" s="458"/>
      <c r="L290" s="458"/>
      <c r="M290" s="458"/>
      <c r="N290" s="458"/>
      <c r="O290" s="458"/>
      <c r="P290" s="458"/>
      <c r="Q290" s="458"/>
      <c r="R290" s="458"/>
      <c r="S290" s="458"/>
      <c r="T290" s="458"/>
      <c r="U290" s="458"/>
      <c r="V290" s="458"/>
      <c r="W290" s="458"/>
    </row>
    <row r="291" spans="1:23" ht="15.75" customHeight="1">
      <c r="A291" s="458"/>
      <c r="B291" s="458"/>
      <c r="C291" s="458"/>
      <c r="D291" s="458"/>
      <c r="E291" s="458"/>
      <c r="F291" s="458"/>
      <c r="G291" s="458"/>
      <c r="H291" s="458"/>
      <c r="I291" s="458"/>
      <c r="J291" s="458"/>
      <c r="K291" s="458"/>
      <c r="L291" s="458"/>
      <c r="M291" s="458"/>
      <c r="N291" s="458"/>
      <c r="O291" s="458"/>
      <c r="P291" s="458"/>
      <c r="Q291" s="458"/>
      <c r="R291" s="458"/>
      <c r="S291" s="458"/>
      <c r="T291" s="458"/>
      <c r="U291" s="458"/>
      <c r="V291" s="458"/>
      <c r="W291" s="458"/>
    </row>
    <row r="292" spans="1:23" ht="15.75" customHeight="1">
      <c r="A292" s="458"/>
      <c r="B292" s="458"/>
      <c r="C292" s="458"/>
      <c r="D292" s="458"/>
      <c r="E292" s="458"/>
      <c r="F292" s="458"/>
      <c r="G292" s="458"/>
      <c r="H292" s="458"/>
      <c r="I292" s="458"/>
      <c r="J292" s="458"/>
      <c r="K292" s="458"/>
      <c r="L292" s="458"/>
      <c r="M292" s="458"/>
      <c r="N292" s="458"/>
      <c r="O292" s="458"/>
      <c r="P292" s="458"/>
      <c r="Q292" s="458"/>
      <c r="R292" s="458"/>
      <c r="S292" s="458"/>
      <c r="T292" s="458"/>
      <c r="U292" s="458"/>
      <c r="V292" s="458"/>
      <c r="W292" s="458"/>
    </row>
    <row r="293" spans="1:23" ht="15.75" customHeight="1">
      <c r="A293" s="458"/>
      <c r="B293" s="458"/>
      <c r="C293" s="458"/>
      <c r="D293" s="458"/>
      <c r="E293" s="458"/>
      <c r="F293" s="458"/>
      <c r="G293" s="458"/>
      <c r="H293" s="458"/>
      <c r="I293" s="458"/>
      <c r="J293" s="458"/>
      <c r="K293" s="458"/>
      <c r="L293" s="458"/>
      <c r="M293" s="458"/>
      <c r="N293" s="458"/>
      <c r="O293" s="458"/>
      <c r="P293" s="458"/>
      <c r="Q293" s="458"/>
      <c r="R293" s="458"/>
      <c r="S293" s="458"/>
      <c r="T293" s="458"/>
      <c r="U293" s="458"/>
      <c r="V293" s="458"/>
      <c r="W293" s="458"/>
    </row>
    <row r="294" spans="1:23" ht="15.75" customHeight="1">
      <c r="A294" s="458"/>
      <c r="B294" s="458"/>
      <c r="C294" s="458"/>
      <c r="D294" s="458"/>
      <c r="E294" s="458"/>
      <c r="F294" s="458"/>
      <c r="G294" s="458"/>
      <c r="H294" s="458"/>
      <c r="I294" s="458"/>
      <c r="J294" s="458"/>
      <c r="K294" s="458"/>
      <c r="L294" s="458"/>
      <c r="M294" s="458"/>
      <c r="N294" s="458"/>
      <c r="O294" s="458"/>
      <c r="P294" s="458"/>
      <c r="Q294" s="458"/>
      <c r="R294" s="458"/>
      <c r="S294" s="458"/>
      <c r="T294" s="458"/>
      <c r="U294" s="458"/>
      <c r="V294" s="458"/>
      <c r="W294" s="458"/>
    </row>
    <row r="295" spans="1:23" ht="15.75" customHeight="1">
      <c r="A295" s="458"/>
      <c r="B295" s="458"/>
      <c r="C295" s="458"/>
      <c r="D295" s="458"/>
      <c r="E295" s="458"/>
      <c r="F295" s="458"/>
      <c r="G295" s="458"/>
      <c r="H295" s="458"/>
      <c r="I295" s="458"/>
      <c r="J295" s="458"/>
      <c r="K295" s="458"/>
      <c r="L295" s="458"/>
      <c r="M295" s="458"/>
      <c r="N295" s="458"/>
      <c r="O295" s="458"/>
      <c r="P295" s="458"/>
      <c r="Q295" s="458"/>
      <c r="R295" s="458"/>
      <c r="S295" s="458"/>
      <c r="T295" s="458"/>
      <c r="U295" s="458"/>
      <c r="V295" s="458"/>
      <c r="W295" s="458"/>
    </row>
    <row r="296" spans="1:23" ht="15.75" customHeight="1">
      <c r="A296" s="458"/>
      <c r="B296" s="458"/>
      <c r="C296" s="458"/>
      <c r="D296" s="458"/>
      <c r="E296" s="458"/>
      <c r="F296" s="458"/>
      <c r="G296" s="458"/>
      <c r="H296" s="458"/>
      <c r="I296" s="458"/>
      <c r="J296" s="458"/>
      <c r="K296" s="458"/>
      <c r="L296" s="458"/>
      <c r="M296" s="458"/>
      <c r="N296" s="458"/>
      <c r="O296" s="458"/>
      <c r="P296" s="458"/>
      <c r="Q296" s="458"/>
      <c r="R296" s="458"/>
      <c r="S296" s="458"/>
      <c r="T296" s="458"/>
      <c r="U296" s="458"/>
      <c r="V296" s="458"/>
      <c r="W296" s="458"/>
    </row>
    <row r="297" spans="1:23" ht="15.75" customHeight="1">
      <c r="A297" s="458"/>
      <c r="B297" s="458"/>
      <c r="C297" s="458"/>
      <c r="D297" s="458"/>
      <c r="E297" s="458"/>
      <c r="F297" s="458"/>
      <c r="G297" s="458"/>
      <c r="H297" s="458"/>
      <c r="I297" s="458"/>
      <c r="J297" s="458"/>
      <c r="K297" s="458"/>
      <c r="L297" s="458"/>
      <c r="M297" s="458"/>
      <c r="N297" s="458"/>
      <c r="O297" s="458"/>
      <c r="P297" s="458"/>
      <c r="Q297" s="458"/>
      <c r="R297" s="458"/>
      <c r="S297" s="458"/>
      <c r="T297" s="458"/>
      <c r="U297" s="458"/>
      <c r="V297" s="458"/>
      <c r="W297" s="458"/>
    </row>
    <row r="298" spans="1:23" ht="15.75" customHeight="1">
      <c r="A298" s="458"/>
      <c r="B298" s="458"/>
      <c r="C298" s="458"/>
      <c r="D298" s="458"/>
      <c r="E298" s="458"/>
      <c r="F298" s="458"/>
      <c r="G298" s="458"/>
      <c r="H298" s="458"/>
      <c r="I298" s="458"/>
      <c r="J298" s="458"/>
      <c r="K298" s="458"/>
      <c r="L298" s="458"/>
      <c r="M298" s="458"/>
      <c r="N298" s="458"/>
      <c r="O298" s="458"/>
      <c r="P298" s="458"/>
      <c r="Q298" s="458"/>
      <c r="R298" s="458"/>
      <c r="S298" s="458"/>
      <c r="T298" s="458"/>
      <c r="U298" s="458"/>
      <c r="V298" s="458"/>
      <c r="W298" s="458"/>
    </row>
    <row r="299" spans="1:23" ht="15.75" customHeight="1">
      <c r="A299" s="458"/>
      <c r="B299" s="458"/>
      <c r="C299" s="458"/>
      <c r="D299" s="458"/>
      <c r="E299" s="458"/>
      <c r="F299" s="458"/>
      <c r="G299" s="458"/>
      <c r="H299" s="458"/>
      <c r="I299" s="458"/>
      <c r="J299" s="458"/>
      <c r="K299" s="458"/>
      <c r="L299" s="458"/>
      <c r="M299" s="458"/>
      <c r="N299" s="458"/>
      <c r="O299" s="458"/>
      <c r="P299" s="458"/>
      <c r="Q299" s="458"/>
      <c r="R299" s="458"/>
      <c r="S299" s="458"/>
      <c r="T299" s="458"/>
      <c r="U299" s="458"/>
      <c r="V299" s="458"/>
      <c r="W299" s="458"/>
    </row>
    <row r="300" spans="1:23" ht="15.75" customHeight="1">
      <c r="A300" s="458"/>
      <c r="B300" s="458"/>
      <c r="C300" s="458"/>
      <c r="D300" s="458"/>
      <c r="E300" s="458"/>
      <c r="F300" s="458"/>
      <c r="G300" s="458"/>
      <c r="H300" s="458"/>
      <c r="I300" s="458"/>
      <c r="J300" s="458"/>
      <c r="K300" s="458"/>
      <c r="L300" s="458"/>
      <c r="M300" s="458"/>
      <c r="N300" s="458"/>
      <c r="O300" s="458"/>
      <c r="P300" s="458"/>
      <c r="Q300" s="458"/>
      <c r="R300" s="458"/>
      <c r="S300" s="458"/>
      <c r="T300" s="458"/>
      <c r="U300" s="458"/>
      <c r="V300" s="458"/>
      <c r="W300" s="458"/>
    </row>
    <row r="301" spans="1:23" ht="15.75" customHeight="1">
      <c r="A301" s="458"/>
      <c r="B301" s="458"/>
      <c r="C301" s="458"/>
      <c r="D301" s="458"/>
      <c r="E301" s="458"/>
      <c r="F301" s="458"/>
      <c r="G301" s="458"/>
      <c r="H301" s="458"/>
      <c r="I301" s="458"/>
      <c r="J301" s="458"/>
      <c r="K301" s="458"/>
      <c r="L301" s="458"/>
      <c r="M301" s="458"/>
      <c r="N301" s="458"/>
      <c r="O301" s="458"/>
      <c r="P301" s="458"/>
      <c r="Q301" s="458"/>
      <c r="R301" s="458"/>
      <c r="S301" s="458"/>
      <c r="T301" s="458"/>
      <c r="U301" s="458"/>
      <c r="V301" s="458"/>
      <c r="W301" s="458"/>
    </row>
    <row r="302" spans="1:23" ht="15.75" customHeight="1">
      <c r="A302" s="458"/>
      <c r="B302" s="458"/>
      <c r="C302" s="458"/>
      <c r="D302" s="458"/>
      <c r="E302" s="458"/>
      <c r="F302" s="458"/>
      <c r="G302" s="458"/>
      <c r="H302" s="458"/>
      <c r="I302" s="458"/>
      <c r="J302" s="458"/>
      <c r="K302" s="458"/>
      <c r="L302" s="458"/>
      <c r="M302" s="458"/>
      <c r="N302" s="458"/>
      <c r="O302" s="458"/>
      <c r="P302" s="458"/>
      <c r="Q302" s="458"/>
      <c r="R302" s="458"/>
      <c r="S302" s="458"/>
      <c r="T302" s="458"/>
      <c r="U302" s="458"/>
      <c r="V302" s="458"/>
      <c r="W302" s="458"/>
    </row>
    <row r="303" spans="1:23" ht="15.75" customHeight="1">
      <c r="A303" s="458"/>
      <c r="B303" s="458"/>
      <c r="C303" s="458"/>
      <c r="D303" s="458"/>
      <c r="E303" s="458"/>
      <c r="F303" s="458"/>
      <c r="G303" s="458"/>
      <c r="H303" s="458"/>
      <c r="I303" s="458"/>
      <c r="J303" s="458"/>
      <c r="K303" s="458"/>
      <c r="L303" s="458"/>
      <c r="M303" s="458"/>
      <c r="N303" s="458"/>
      <c r="O303" s="458"/>
      <c r="P303" s="458"/>
      <c r="Q303" s="458"/>
      <c r="R303" s="458"/>
      <c r="S303" s="458"/>
      <c r="T303" s="458"/>
      <c r="U303" s="458"/>
      <c r="V303" s="458"/>
      <c r="W303" s="458"/>
    </row>
    <row r="304" spans="1:23" ht="15.75" customHeight="1">
      <c r="A304" s="458"/>
      <c r="B304" s="458"/>
      <c r="C304" s="458"/>
      <c r="D304" s="458"/>
      <c r="E304" s="458"/>
      <c r="F304" s="458"/>
      <c r="G304" s="458"/>
      <c r="H304" s="458"/>
      <c r="I304" s="458"/>
      <c r="J304" s="458"/>
      <c r="K304" s="458"/>
      <c r="L304" s="458"/>
      <c r="M304" s="458"/>
      <c r="N304" s="458"/>
      <c r="O304" s="458"/>
      <c r="P304" s="458"/>
      <c r="Q304" s="458"/>
      <c r="R304" s="458"/>
      <c r="S304" s="458"/>
      <c r="T304" s="458"/>
      <c r="U304" s="458"/>
      <c r="V304" s="458"/>
      <c r="W304" s="458"/>
    </row>
    <row r="305" spans="1:23" ht="15.75" customHeight="1">
      <c r="A305" s="458"/>
      <c r="B305" s="458"/>
      <c r="C305" s="458"/>
      <c r="D305" s="458"/>
      <c r="E305" s="458"/>
      <c r="F305" s="458"/>
      <c r="G305" s="458"/>
      <c r="H305" s="458"/>
      <c r="I305" s="458"/>
      <c r="J305" s="458"/>
      <c r="K305" s="458"/>
      <c r="L305" s="458"/>
      <c r="M305" s="458"/>
      <c r="N305" s="458"/>
      <c r="O305" s="458"/>
      <c r="P305" s="458"/>
      <c r="Q305" s="458"/>
      <c r="R305" s="458"/>
      <c r="S305" s="458"/>
      <c r="T305" s="458"/>
      <c r="U305" s="458"/>
      <c r="V305" s="458"/>
      <c r="W305" s="458"/>
    </row>
    <row r="306" spans="1:23" ht="15.75" customHeight="1">
      <c r="A306" s="458"/>
      <c r="B306" s="458"/>
      <c r="C306" s="458"/>
      <c r="D306" s="458"/>
      <c r="E306" s="458"/>
      <c r="F306" s="458"/>
      <c r="G306" s="458"/>
      <c r="H306" s="458"/>
      <c r="I306" s="458"/>
      <c r="J306" s="458"/>
      <c r="K306" s="458"/>
      <c r="L306" s="458"/>
      <c r="M306" s="458"/>
      <c r="N306" s="458"/>
      <c r="O306" s="458"/>
      <c r="P306" s="458"/>
      <c r="Q306" s="458"/>
      <c r="R306" s="458"/>
      <c r="S306" s="458"/>
      <c r="T306" s="458"/>
      <c r="U306" s="458"/>
      <c r="V306" s="458"/>
      <c r="W306" s="458"/>
    </row>
    <row r="307" spans="1:23" ht="15.75" customHeight="1">
      <c r="A307" s="458"/>
      <c r="B307" s="458"/>
      <c r="C307" s="458"/>
      <c r="D307" s="458"/>
      <c r="E307" s="458"/>
      <c r="F307" s="458"/>
      <c r="G307" s="458"/>
      <c r="H307" s="458"/>
      <c r="I307" s="458"/>
      <c r="J307" s="458"/>
      <c r="K307" s="458"/>
      <c r="L307" s="458"/>
      <c r="M307" s="458"/>
      <c r="N307" s="458"/>
      <c r="O307" s="458"/>
      <c r="P307" s="458"/>
      <c r="Q307" s="458"/>
      <c r="R307" s="458"/>
      <c r="S307" s="458"/>
      <c r="T307" s="458"/>
      <c r="U307" s="458"/>
      <c r="V307" s="458"/>
      <c r="W307" s="458"/>
    </row>
    <row r="308" spans="1:23" ht="15.75" customHeight="1">
      <c r="A308" s="458"/>
      <c r="B308" s="458"/>
      <c r="C308" s="458"/>
      <c r="D308" s="458"/>
      <c r="E308" s="458"/>
      <c r="F308" s="458"/>
      <c r="G308" s="458"/>
      <c r="H308" s="458"/>
      <c r="I308" s="458"/>
      <c r="J308" s="458"/>
      <c r="K308" s="458"/>
      <c r="L308" s="458"/>
      <c r="M308" s="458"/>
      <c r="N308" s="458"/>
      <c r="O308" s="458"/>
      <c r="P308" s="458"/>
      <c r="Q308" s="458"/>
      <c r="R308" s="458"/>
      <c r="S308" s="458"/>
      <c r="T308" s="458"/>
      <c r="U308" s="458"/>
      <c r="V308" s="458"/>
      <c r="W308" s="458"/>
    </row>
    <row r="309" spans="1:23" ht="15.75" customHeight="1">
      <c r="A309" s="458"/>
      <c r="B309" s="458"/>
      <c r="C309" s="458"/>
      <c r="D309" s="458"/>
      <c r="E309" s="458"/>
      <c r="F309" s="458"/>
      <c r="G309" s="458"/>
      <c r="H309" s="458"/>
      <c r="I309" s="458"/>
      <c r="J309" s="458"/>
      <c r="K309" s="458"/>
      <c r="L309" s="458"/>
      <c r="M309" s="458"/>
      <c r="N309" s="458"/>
      <c r="O309" s="458"/>
      <c r="P309" s="458"/>
      <c r="Q309" s="458"/>
      <c r="R309" s="458"/>
      <c r="S309" s="458"/>
      <c r="T309" s="458"/>
      <c r="U309" s="458"/>
      <c r="V309" s="458"/>
      <c r="W309" s="458"/>
    </row>
    <row r="310" spans="1:23" ht="15.75" customHeight="1">
      <c r="A310" s="458"/>
      <c r="B310" s="458"/>
      <c r="C310" s="458"/>
      <c r="D310" s="458"/>
      <c r="E310" s="458"/>
      <c r="F310" s="458"/>
      <c r="G310" s="458"/>
      <c r="H310" s="458"/>
      <c r="I310" s="458"/>
      <c r="J310" s="458"/>
      <c r="K310" s="458"/>
      <c r="L310" s="458"/>
      <c r="M310" s="458"/>
      <c r="N310" s="458"/>
      <c r="O310" s="458"/>
      <c r="P310" s="458"/>
      <c r="Q310" s="458"/>
      <c r="R310" s="458"/>
      <c r="S310" s="458"/>
      <c r="T310" s="458"/>
      <c r="U310" s="458"/>
      <c r="V310" s="458"/>
      <c r="W310" s="458"/>
    </row>
    <row r="311" spans="1:23" ht="15.75" customHeight="1">
      <c r="A311" s="458"/>
      <c r="B311" s="458"/>
      <c r="C311" s="458"/>
      <c r="D311" s="458"/>
      <c r="E311" s="458"/>
      <c r="F311" s="458"/>
      <c r="G311" s="458"/>
      <c r="H311" s="458"/>
      <c r="I311" s="458"/>
      <c r="J311" s="458"/>
      <c r="K311" s="458"/>
      <c r="L311" s="458"/>
      <c r="M311" s="458"/>
      <c r="N311" s="458"/>
      <c r="O311" s="458"/>
      <c r="P311" s="458"/>
      <c r="Q311" s="458"/>
      <c r="R311" s="458"/>
      <c r="S311" s="458"/>
      <c r="T311" s="458"/>
      <c r="U311" s="458"/>
      <c r="V311" s="458"/>
      <c r="W311" s="458"/>
    </row>
    <row r="312" spans="1:23" ht="15.75" customHeight="1">
      <c r="A312" s="458"/>
      <c r="B312" s="458"/>
      <c r="C312" s="458"/>
      <c r="D312" s="458"/>
      <c r="E312" s="458"/>
      <c r="F312" s="458"/>
      <c r="G312" s="458"/>
      <c r="H312" s="458"/>
      <c r="I312" s="458"/>
      <c r="J312" s="458"/>
      <c r="K312" s="458"/>
      <c r="L312" s="458"/>
      <c r="M312" s="458"/>
      <c r="N312" s="458"/>
      <c r="O312" s="458"/>
      <c r="P312" s="458"/>
      <c r="Q312" s="458"/>
      <c r="R312" s="458"/>
      <c r="S312" s="458"/>
      <c r="T312" s="458"/>
      <c r="U312" s="458"/>
      <c r="V312" s="458"/>
      <c r="W312" s="458"/>
    </row>
    <row r="313" spans="1:23" ht="15.75" customHeight="1">
      <c r="A313" s="458"/>
      <c r="B313" s="458"/>
      <c r="C313" s="458"/>
      <c r="D313" s="458"/>
      <c r="E313" s="458"/>
      <c r="F313" s="458"/>
      <c r="G313" s="458"/>
      <c r="H313" s="458"/>
      <c r="I313" s="458"/>
      <c r="J313" s="458"/>
      <c r="K313" s="458"/>
      <c r="L313" s="458"/>
      <c r="M313" s="458"/>
      <c r="N313" s="458"/>
      <c r="O313" s="458"/>
      <c r="P313" s="458"/>
      <c r="Q313" s="458"/>
      <c r="R313" s="458"/>
      <c r="S313" s="458"/>
      <c r="T313" s="458"/>
      <c r="U313" s="458"/>
      <c r="V313" s="458"/>
      <c r="W313" s="458"/>
    </row>
    <row r="314" spans="1:23" ht="15.75" customHeight="1">
      <c r="A314" s="458"/>
      <c r="B314" s="458"/>
      <c r="C314" s="458"/>
      <c r="D314" s="458"/>
      <c r="E314" s="458"/>
      <c r="F314" s="458"/>
      <c r="G314" s="458"/>
      <c r="H314" s="458"/>
      <c r="I314" s="458"/>
      <c r="J314" s="458"/>
      <c r="K314" s="458"/>
      <c r="L314" s="458"/>
      <c r="M314" s="458"/>
      <c r="N314" s="458"/>
      <c r="O314" s="458"/>
      <c r="P314" s="458"/>
      <c r="Q314" s="458"/>
      <c r="R314" s="458"/>
      <c r="S314" s="458"/>
      <c r="T314" s="458"/>
      <c r="U314" s="458"/>
      <c r="V314" s="458"/>
      <c r="W314" s="458"/>
    </row>
    <row r="315" spans="1:23" ht="15.75" customHeight="1">
      <c r="A315" s="458"/>
      <c r="B315" s="458"/>
      <c r="C315" s="458"/>
      <c r="D315" s="458"/>
      <c r="E315" s="458"/>
      <c r="F315" s="458"/>
      <c r="G315" s="458"/>
      <c r="H315" s="458"/>
      <c r="I315" s="458"/>
      <c r="J315" s="458"/>
      <c r="K315" s="458"/>
      <c r="L315" s="458"/>
      <c r="M315" s="458"/>
      <c r="N315" s="458"/>
      <c r="O315" s="458"/>
      <c r="P315" s="458"/>
      <c r="Q315" s="458"/>
      <c r="R315" s="458"/>
      <c r="S315" s="458"/>
      <c r="T315" s="458"/>
      <c r="U315" s="458"/>
      <c r="V315" s="458"/>
      <c r="W315" s="458"/>
    </row>
    <row r="316" spans="1:23" ht="15.75" customHeight="1">
      <c r="A316" s="458"/>
      <c r="B316" s="458"/>
      <c r="C316" s="458"/>
      <c r="D316" s="458"/>
      <c r="E316" s="458"/>
      <c r="F316" s="458"/>
      <c r="G316" s="458"/>
      <c r="H316" s="458"/>
      <c r="I316" s="458"/>
      <c r="J316" s="458"/>
      <c r="K316" s="458"/>
      <c r="L316" s="458"/>
      <c r="M316" s="458"/>
      <c r="N316" s="458"/>
      <c r="O316" s="458"/>
      <c r="P316" s="458"/>
      <c r="Q316" s="458"/>
      <c r="R316" s="458"/>
      <c r="S316" s="458"/>
      <c r="T316" s="458"/>
      <c r="U316" s="458"/>
      <c r="V316" s="458"/>
      <c r="W316" s="458"/>
    </row>
    <row r="317" spans="1:23" ht="15.75" customHeight="1">
      <c r="A317" s="458"/>
      <c r="B317" s="458"/>
      <c r="C317" s="458"/>
      <c r="D317" s="458"/>
      <c r="E317" s="458"/>
      <c r="F317" s="458"/>
      <c r="G317" s="458"/>
      <c r="H317" s="458"/>
      <c r="I317" s="458"/>
      <c r="J317" s="458"/>
      <c r="K317" s="458"/>
      <c r="L317" s="458"/>
      <c r="M317" s="458"/>
      <c r="N317" s="458"/>
      <c r="O317" s="458"/>
      <c r="P317" s="458"/>
      <c r="Q317" s="458"/>
      <c r="R317" s="458"/>
      <c r="S317" s="458"/>
      <c r="T317" s="458"/>
      <c r="U317" s="458"/>
      <c r="V317" s="458"/>
      <c r="W317" s="458"/>
    </row>
    <row r="318" spans="1:23" ht="15.75" customHeight="1">
      <c r="A318" s="458"/>
      <c r="B318" s="458"/>
      <c r="C318" s="458"/>
      <c r="D318" s="458"/>
      <c r="E318" s="458"/>
      <c r="F318" s="458"/>
      <c r="G318" s="458"/>
      <c r="H318" s="458"/>
      <c r="I318" s="458"/>
      <c r="J318" s="458"/>
      <c r="K318" s="458"/>
      <c r="L318" s="458"/>
      <c r="M318" s="458"/>
      <c r="N318" s="458"/>
      <c r="O318" s="458"/>
      <c r="P318" s="458"/>
      <c r="Q318" s="458"/>
      <c r="R318" s="458"/>
      <c r="S318" s="458"/>
      <c r="T318" s="458"/>
      <c r="U318" s="458"/>
      <c r="V318" s="458"/>
      <c r="W318" s="458"/>
    </row>
    <row r="319" spans="1:23" ht="15.75" customHeight="1">
      <c r="A319" s="458"/>
      <c r="B319" s="458"/>
      <c r="C319" s="458"/>
      <c r="D319" s="458"/>
      <c r="E319" s="458"/>
      <c r="F319" s="458"/>
      <c r="G319" s="458"/>
      <c r="H319" s="458"/>
      <c r="I319" s="458"/>
      <c r="J319" s="458"/>
      <c r="K319" s="458"/>
      <c r="L319" s="458"/>
      <c r="M319" s="458"/>
      <c r="N319" s="458"/>
      <c r="O319" s="458"/>
      <c r="P319" s="458"/>
      <c r="Q319" s="458"/>
      <c r="R319" s="458"/>
      <c r="S319" s="458"/>
      <c r="T319" s="458"/>
      <c r="U319" s="458"/>
      <c r="V319" s="458"/>
      <c r="W319" s="458"/>
    </row>
    <row r="320" spans="1:23" ht="15.75" customHeight="1">
      <c r="A320" s="458"/>
      <c r="B320" s="458"/>
      <c r="C320" s="458"/>
      <c r="D320" s="458"/>
      <c r="E320" s="458"/>
      <c r="F320" s="458"/>
      <c r="G320" s="458"/>
      <c r="H320" s="458"/>
      <c r="I320" s="458"/>
      <c r="J320" s="458"/>
      <c r="K320" s="458"/>
      <c r="L320" s="458"/>
      <c r="M320" s="458"/>
      <c r="N320" s="458"/>
      <c r="O320" s="458"/>
      <c r="P320" s="458"/>
      <c r="Q320" s="458"/>
      <c r="R320" s="458"/>
      <c r="S320" s="458"/>
      <c r="T320" s="458"/>
      <c r="U320" s="458"/>
      <c r="V320" s="458"/>
      <c r="W320" s="458"/>
    </row>
    <row r="321" spans="1:23" ht="15.75" customHeight="1">
      <c r="A321" s="458"/>
      <c r="B321" s="458"/>
      <c r="C321" s="458"/>
      <c r="D321" s="458"/>
      <c r="E321" s="458"/>
      <c r="F321" s="458"/>
      <c r="G321" s="458"/>
      <c r="H321" s="458"/>
      <c r="I321" s="458"/>
      <c r="J321" s="458"/>
      <c r="K321" s="458"/>
      <c r="L321" s="458"/>
      <c r="M321" s="458"/>
      <c r="N321" s="458"/>
      <c r="O321" s="458"/>
      <c r="P321" s="458"/>
      <c r="Q321" s="458"/>
      <c r="R321" s="458"/>
      <c r="S321" s="458"/>
      <c r="T321" s="458"/>
      <c r="U321" s="458"/>
      <c r="V321" s="458"/>
      <c r="W321" s="458"/>
    </row>
    <row r="322" spans="1:23" ht="15.75" customHeight="1">
      <c r="A322" s="458"/>
      <c r="B322" s="458"/>
      <c r="C322" s="458"/>
      <c r="D322" s="458"/>
      <c r="E322" s="458"/>
      <c r="F322" s="458"/>
      <c r="G322" s="458"/>
      <c r="H322" s="458"/>
      <c r="I322" s="458"/>
      <c r="J322" s="458"/>
      <c r="K322" s="458"/>
      <c r="L322" s="458"/>
      <c r="M322" s="458"/>
      <c r="N322" s="458"/>
      <c r="O322" s="458"/>
      <c r="P322" s="458"/>
      <c r="Q322" s="458"/>
      <c r="R322" s="458"/>
      <c r="S322" s="458"/>
      <c r="T322" s="458"/>
      <c r="U322" s="458"/>
      <c r="V322" s="458"/>
      <c r="W322" s="458"/>
    </row>
    <row r="323" spans="1:23" ht="15.75" customHeight="1">
      <c r="A323" s="458"/>
      <c r="B323" s="458"/>
      <c r="C323" s="458"/>
      <c r="D323" s="458"/>
      <c r="E323" s="458"/>
      <c r="F323" s="458"/>
      <c r="G323" s="458"/>
      <c r="H323" s="458"/>
      <c r="I323" s="458"/>
      <c r="J323" s="458"/>
      <c r="K323" s="458"/>
      <c r="L323" s="458"/>
      <c r="M323" s="458"/>
      <c r="N323" s="458"/>
      <c r="O323" s="458"/>
      <c r="P323" s="458"/>
      <c r="Q323" s="458"/>
      <c r="R323" s="458"/>
      <c r="S323" s="458"/>
      <c r="T323" s="458"/>
      <c r="U323" s="458"/>
      <c r="V323" s="458"/>
      <c r="W323" s="458"/>
    </row>
    <row r="324" spans="1:23" ht="15.75" customHeight="1">
      <c r="A324" s="458"/>
      <c r="B324" s="458"/>
      <c r="C324" s="458"/>
      <c r="D324" s="458"/>
      <c r="E324" s="458"/>
      <c r="F324" s="458"/>
      <c r="G324" s="458"/>
      <c r="H324" s="458"/>
      <c r="I324" s="458"/>
      <c r="J324" s="458"/>
      <c r="K324" s="458"/>
      <c r="L324" s="458"/>
      <c r="M324" s="458"/>
      <c r="N324" s="458"/>
      <c r="O324" s="458"/>
      <c r="P324" s="458"/>
      <c r="Q324" s="458"/>
      <c r="R324" s="458"/>
      <c r="S324" s="458"/>
      <c r="T324" s="458"/>
      <c r="U324" s="458"/>
      <c r="V324" s="458"/>
      <c r="W324" s="458"/>
    </row>
    <row r="325" spans="1:23" ht="15.75" customHeight="1">
      <c r="A325" s="458"/>
      <c r="B325" s="458"/>
      <c r="C325" s="458"/>
      <c r="D325" s="458"/>
      <c r="E325" s="458"/>
      <c r="F325" s="458"/>
      <c r="G325" s="458"/>
      <c r="H325" s="458"/>
      <c r="I325" s="458"/>
      <c r="J325" s="458"/>
      <c r="K325" s="458"/>
      <c r="L325" s="458"/>
      <c r="M325" s="458"/>
      <c r="N325" s="458"/>
      <c r="O325" s="458"/>
      <c r="P325" s="458"/>
      <c r="Q325" s="458"/>
      <c r="R325" s="458"/>
      <c r="S325" s="458"/>
      <c r="T325" s="458"/>
      <c r="U325" s="458"/>
      <c r="V325" s="458"/>
      <c r="W325" s="458"/>
    </row>
    <row r="326" spans="1:23" ht="15.75" customHeight="1">
      <c r="A326" s="458"/>
      <c r="B326" s="458"/>
      <c r="C326" s="458"/>
      <c r="D326" s="458"/>
      <c r="E326" s="458"/>
      <c r="F326" s="458"/>
      <c r="G326" s="458"/>
      <c r="H326" s="458"/>
      <c r="I326" s="458"/>
      <c r="J326" s="458"/>
      <c r="K326" s="458"/>
      <c r="L326" s="458"/>
      <c r="M326" s="458"/>
      <c r="N326" s="458"/>
      <c r="O326" s="458"/>
      <c r="P326" s="458"/>
      <c r="Q326" s="458"/>
      <c r="R326" s="458"/>
      <c r="S326" s="458"/>
      <c r="T326" s="458"/>
      <c r="U326" s="458"/>
      <c r="V326" s="458"/>
      <c r="W326" s="458"/>
    </row>
    <row r="327" spans="1:23" ht="15.75" customHeight="1">
      <c r="A327" s="458"/>
      <c r="B327" s="458"/>
      <c r="C327" s="458"/>
      <c r="D327" s="458"/>
      <c r="E327" s="458"/>
      <c r="F327" s="458"/>
      <c r="G327" s="458"/>
      <c r="H327" s="458"/>
      <c r="I327" s="458"/>
      <c r="J327" s="458"/>
      <c r="K327" s="458"/>
      <c r="L327" s="458"/>
      <c r="M327" s="458"/>
      <c r="N327" s="458"/>
      <c r="O327" s="458"/>
      <c r="P327" s="458"/>
      <c r="Q327" s="458"/>
      <c r="R327" s="458"/>
      <c r="S327" s="458"/>
      <c r="T327" s="458"/>
      <c r="U327" s="458"/>
      <c r="V327" s="458"/>
      <c r="W327" s="458"/>
    </row>
    <row r="328" spans="1:23" ht="15.75" customHeight="1">
      <c r="A328" s="458"/>
      <c r="B328" s="458"/>
      <c r="C328" s="458"/>
      <c r="D328" s="458"/>
      <c r="E328" s="458"/>
      <c r="F328" s="458"/>
      <c r="G328" s="458"/>
      <c r="H328" s="458"/>
      <c r="I328" s="458"/>
      <c r="J328" s="458"/>
      <c r="K328" s="458"/>
      <c r="L328" s="458"/>
      <c r="M328" s="458"/>
      <c r="N328" s="458"/>
      <c r="O328" s="458"/>
      <c r="P328" s="458"/>
      <c r="Q328" s="458"/>
      <c r="R328" s="458"/>
      <c r="S328" s="458"/>
      <c r="T328" s="458"/>
      <c r="U328" s="458"/>
      <c r="V328" s="458"/>
      <c r="W328" s="458"/>
    </row>
    <row r="329" spans="1:23" ht="15.75" customHeight="1">
      <c r="A329" s="458"/>
      <c r="B329" s="458"/>
      <c r="C329" s="458"/>
      <c r="D329" s="458"/>
      <c r="E329" s="458"/>
      <c r="F329" s="458"/>
      <c r="G329" s="458"/>
      <c r="H329" s="458"/>
      <c r="I329" s="458"/>
      <c r="J329" s="458"/>
      <c r="K329" s="458"/>
      <c r="L329" s="458"/>
      <c r="M329" s="458"/>
      <c r="N329" s="458"/>
      <c r="O329" s="458"/>
      <c r="P329" s="458"/>
      <c r="Q329" s="458"/>
      <c r="R329" s="458"/>
      <c r="S329" s="458"/>
      <c r="T329" s="458"/>
      <c r="U329" s="458"/>
      <c r="V329" s="458"/>
      <c r="W329" s="458"/>
    </row>
    <row r="330" spans="1:23" ht="15.75" customHeight="1">
      <c r="A330" s="458"/>
      <c r="B330" s="458"/>
      <c r="C330" s="458"/>
      <c r="D330" s="458"/>
      <c r="E330" s="458"/>
      <c r="F330" s="458"/>
      <c r="G330" s="458"/>
      <c r="H330" s="458"/>
      <c r="I330" s="458"/>
      <c r="J330" s="458"/>
      <c r="K330" s="458"/>
      <c r="L330" s="458"/>
      <c r="M330" s="458"/>
      <c r="N330" s="458"/>
      <c r="O330" s="458"/>
      <c r="P330" s="458"/>
      <c r="Q330" s="458"/>
      <c r="R330" s="458"/>
      <c r="S330" s="458"/>
      <c r="T330" s="458"/>
      <c r="U330" s="458"/>
      <c r="V330" s="458"/>
      <c r="W330" s="458"/>
    </row>
    <row r="331" spans="1:23" ht="15.75" customHeight="1">
      <c r="A331" s="458"/>
      <c r="B331" s="458"/>
      <c r="C331" s="458"/>
      <c r="D331" s="458"/>
      <c r="E331" s="458"/>
      <c r="F331" s="458"/>
      <c r="G331" s="458"/>
      <c r="H331" s="458"/>
      <c r="I331" s="458"/>
      <c r="J331" s="458"/>
      <c r="K331" s="458"/>
      <c r="L331" s="458"/>
      <c r="M331" s="458"/>
      <c r="N331" s="458"/>
      <c r="O331" s="458"/>
      <c r="P331" s="458"/>
      <c r="Q331" s="458"/>
      <c r="R331" s="458"/>
      <c r="S331" s="458"/>
      <c r="T331" s="458"/>
      <c r="U331" s="458"/>
      <c r="V331" s="458"/>
      <c r="W331" s="458"/>
    </row>
    <row r="332" spans="1:23" ht="15.75" customHeight="1">
      <c r="A332" s="458"/>
      <c r="B332" s="458"/>
      <c r="C332" s="458"/>
      <c r="D332" s="458"/>
      <c r="E332" s="458"/>
      <c r="F332" s="458"/>
      <c r="G332" s="458"/>
      <c r="H332" s="458"/>
      <c r="I332" s="458"/>
      <c r="J332" s="458"/>
      <c r="K332" s="458"/>
      <c r="L332" s="458"/>
      <c r="M332" s="458"/>
      <c r="N332" s="458"/>
      <c r="O332" s="458"/>
      <c r="P332" s="458"/>
      <c r="Q332" s="458"/>
      <c r="R332" s="458"/>
      <c r="S332" s="458"/>
      <c r="T332" s="458"/>
      <c r="U332" s="458"/>
      <c r="V332" s="458"/>
      <c r="W332" s="458"/>
    </row>
    <row r="333" spans="1:23" ht="15.75" customHeight="1">
      <c r="A333" s="458"/>
      <c r="B333" s="458"/>
      <c r="C333" s="458"/>
      <c r="D333" s="458"/>
      <c r="E333" s="458"/>
      <c r="F333" s="458"/>
      <c r="G333" s="458"/>
      <c r="H333" s="458"/>
      <c r="I333" s="458"/>
      <c r="J333" s="458"/>
      <c r="K333" s="458"/>
      <c r="L333" s="458"/>
      <c r="M333" s="458"/>
      <c r="N333" s="458"/>
      <c r="O333" s="458"/>
      <c r="P333" s="458"/>
      <c r="Q333" s="458"/>
      <c r="R333" s="458"/>
      <c r="S333" s="458"/>
      <c r="T333" s="458"/>
      <c r="U333" s="458"/>
      <c r="V333" s="458"/>
      <c r="W333" s="458"/>
    </row>
    <row r="334" spans="1:23" ht="15.75" customHeight="1">
      <c r="A334" s="458"/>
      <c r="B334" s="458"/>
      <c r="C334" s="458"/>
      <c r="D334" s="458"/>
      <c r="E334" s="458"/>
      <c r="F334" s="458"/>
      <c r="G334" s="458"/>
      <c r="H334" s="458"/>
      <c r="I334" s="458"/>
      <c r="J334" s="458"/>
      <c r="K334" s="458"/>
      <c r="L334" s="458"/>
      <c r="M334" s="458"/>
      <c r="N334" s="458"/>
      <c r="O334" s="458"/>
      <c r="P334" s="458"/>
      <c r="Q334" s="458"/>
      <c r="R334" s="458"/>
      <c r="S334" s="458"/>
      <c r="T334" s="458"/>
      <c r="U334" s="458"/>
      <c r="V334" s="458"/>
      <c r="W334" s="458"/>
    </row>
    <row r="335" spans="1:23" ht="15.75" customHeight="1">
      <c r="A335" s="458"/>
      <c r="B335" s="458"/>
      <c r="C335" s="458"/>
      <c r="D335" s="458"/>
      <c r="E335" s="458"/>
      <c r="F335" s="458"/>
      <c r="G335" s="458"/>
      <c r="H335" s="458"/>
      <c r="I335" s="458"/>
      <c r="J335" s="458"/>
      <c r="K335" s="458"/>
      <c r="L335" s="458"/>
      <c r="M335" s="458"/>
      <c r="N335" s="458"/>
      <c r="O335" s="458"/>
      <c r="P335" s="458"/>
      <c r="Q335" s="458"/>
      <c r="R335" s="458"/>
      <c r="S335" s="458"/>
      <c r="T335" s="458"/>
      <c r="U335" s="458"/>
      <c r="V335" s="458"/>
      <c r="W335" s="458"/>
    </row>
    <row r="336" spans="1:23" ht="15.75" customHeight="1">
      <c r="A336" s="458"/>
      <c r="B336" s="458"/>
      <c r="C336" s="458"/>
      <c r="D336" s="458"/>
      <c r="E336" s="458"/>
      <c r="F336" s="458"/>
      <c r="G336" s="458"/>
      <c r="H336" s="458"/>
      <c r="I336" s="458"/>
      <c r="J336" s="458"/>
      <c r="K336" s="458"/>
      <c r="L336" s="458"/>
      <c r="M336" s="458"/>
      <c r="N336" s="458"/>
      <c r="O336" s="458"/>
      <c r="P336" s="458"/>
      <c r="Q336" s="458"/>
      <c r="R336" s="458"/>
      <c r="S336" s="458"/>
      <c r="T336" s="458"/>
      <c r="U336" s="458"/>
      <c r="V336" s="458"/>
      <c r="W336" s="458"/>
    </row>
    <row r="337" spans="1:23" ht="15.75" customHeight="1">
      <c r="A337" s="458"/>
      <c r="B337" s="458"/>
      <c r="C337" s="458"/>
      <c r="D337" s="458"/>
      <c r="E337" s="458"/>
      <c r="F337" s="458"/>
      <c r="G337" s="458"/>
      <c r="H337" s="458"/>
      <c r="I337" s="458"/>
      <c r="J337" s="458"/>
      <c r="K337" s="458"/>
      <c r="L337" s="458"/>
      <c r="M337" s="458"/>
      <c r="N337" s="458"/>
      <c r="O337" s="458"/>
      <c r="P337" s="458"/>
      <c r="Q337" s="458"/>
      <c r="R337" s="458"/>
      <c r="S337" s="458"/>
      <c r="T337" s="458"/>
      <c r="U337" s="458"/>
      <c r="V337" s="458"/>
      <c r="W337" s="458"/>
    </row>
    <row r="338" spans="1:23" ht="15.75" customHeight="1">
      <c r="A338" s="458"/>
      <c r="B338" s="458"/>
      <c r="C338" s="458"/>
      <c r="D338" s="458"/>
      <c r="E338" s="458"/>
      <c r="F338" s="458"/>
      <c r="G338" s="458"/>
      <c r="H338" s="458"/>
      <c r="I338" s="458"/>
      <c r="J338" s="458"/>
      <c r="K338" s="458"/>
      <c r="L338" s="458"/>
      <c r="M338" s="458"/>
      <c r="N338" s="458"/>
      <c r="O338" s="458"/>
      <c r="P338" s="458"/>
      <c r="Q338" s="458"/>
      <c r="R338" s="458"/>
      <c r="S338" s="458"/>
      <c r="T338" s="458"/>
      <c r="U338" s="458"/>
      <c r="V338" s="458"/>
      <c r="W338" s="458"/>
    </row>
    <row r="339" spans="1:23" ht="15.75" customHeight="1">
      <c r="A339" s="458"/>
      <c r="B339" s="458"/>
      <c r="C339" s="458"/>
      <c r="D339" s="458"/>
      <c r="E339" s="458"/>
      <c r="F339" s="458"/>
      <c r="G339" s="458"/>
      <c r="H339" s="458"/>
      <c r="I339" s="458"/>
      <c r="J339" s="458"/>
      <c r="K339" s="458"/>
      <c r="L339" s="458"/>
      <c r="M339" s="458"/>
      <c r="N339" s="458"/>
      <c r="O339" s="458"/>
      <c r="P339" s="458"/>
      <c r="Q339" s="458"/>
      <c r="R339" s="458"/>
      <c r="S339" s="458"/>
      <c r="T339" s="458"/>
      <c r="U339" s="458"/>
      <c r="V339" s="458"/>
      <c r="W339" s="458"/>
    </row>
    <row r="340" spans="1:23" ht="15.75" customHeight="1">
      <c r="A340" s="458"/>
      <c r="B340" s="458"/>
      <c r="C340" s="458"/>
      <c r="D340" s="458"/>
      <c r="E340" s="458"/>
      <c r="F340" s="458"/>
      <c r="G340" s="458"/>
      <c r="H340" s="458"/>
      <c r="I340" s="458"/>
      <c r="J340" s="458"/>
      <c r="K340" s="458"/>
      <c r="L340" s="458"/>
      <c r="M340" s="458"/>
      <c r="N340" s="458"/>
      <c r="O340" s="458"/>
      <c r="P340" s="458"/>
      <c r="Q340" s="458"/>
      <c r="R340" s="458"/>
      <c r="S340" s="458"/>
      <c r="T340" s="458"/>
      <c r="U340" s="458"/>
      <c r="V340" s="458"/>
      <c r="W340" s="458"/>
    </row>
    <row r="341" spans="1:23" ht="15.75" customHeight="1">
      <c r="A341" s="458"/>
      <c r="B341" s="458"/>
      <c r="C341" s="458"/>
      <c r="D341" s="458"/>
      <c r="E341" s="458"/>
      <c r="F341" s="458"/>
      <c r="G341" s="458"/>
      <c r="H341" s="458"/>
      <c r="I341" s="458"/>
      <c r="J341" s="458"/>
      <c r="K341" s="458"/>
      <c r="L341" s="458"/>
      <c r="M341" s="458"/>
      <c r="N341" s="458"/>
      <c r="O341" s="458"/>
      <c r="P341" s="458"/>
      <c r="Q341" s="458"/>
      <c r="R341" s="458"/>
      <c r="S341" s="458"/>
      <c r="T341" s="458"/>
      <c r="U341" s="458"/>
      <c r="V341" s="458"/>
      <c r="W341" s="458"/>
    </row>
    <row r="342" spans="1:23" ht="15.75" customHeight="1">
      <c r="A342" s="458"/>
      <c r="B342" s="458"/>
      <c r="C342" s="458"/>
      <c r="D342" s="458"/>
      <c r="E342" s="458"/>
      <c r="F342" s="458"/>
      <c r="G342" s="458"/>
      <c r="H342" s="458"/>
      <c r="I342" s="458"/>
      <c r="J342" s="458"/>
      <c r="K342" s="458"/>
      <c r="L342" s="458"/>
      <c r="M342" s="458"/>
      <c r="N342" s="458"/>
      <c r="O342" s="458"/>
      <c r="P342" s="458"/>
      <c r="Q342" s="458"/>
      <c r="R342" s="458"/>
      <c r="S342" s="458"/>
      <c r="T342" s="458"/>
      <c r="U342" s="458"/>
      <c r="V342" s="458"/>
      <c r="W342" s="458"/>
    </row>
    <row r="343" spans="1:23" ht="15.75" customHeight="1">
      <c r="A343" s="458"/>
      <c r="B343" s="458"/>
      <c r="C343" s="458"/>
      <c r="D343" s="458"/>
      <c r="E343" s="458"/>
      <c r="F343" s="458"/>
      <c r="G343" s="458"/>
      <c r="H343" s="458"/>
      <c r="I343" s="458"/>
      <c r="J343" s="458"/>
      <c r="K343" s="458"/>
      <c r="L343" s="458"/>
      <c r="M343" s="458"/>
      <c r="N343" s="458"/>
      <c r="O343" s="458"/>
      <c r="P343" s="458"/>
      <c r="Q343" s="458"/>
      <c r="R343" s="458"/>
      <c r="S343" s="458"/>
      <c r="T343" s="458"/>
      <c r="U343" s="458"/>
      <c r="V343" s="458"/>
      <c r="W343" s="458"/>
    </row>
    <row r="344" spans="1:23" ht="15.75" customHeight="1">
      <c r="A344" s="458"/>
      <c r="B344" s="458"/>
      <c r="C344" s="458"/>
      <c r="D344" s="458"/>
      <c r="E344" s="458"/>
      <c r="F344" s="458"/>
      <c r="G344" s="458"/>
      <c r="H344" s="458"/>
      <c r="I344" s="458"/>
      <c r="J344" s="458"/>
      <c r="K344" s="458"/>
      <c r="L344" s="458"/>
      <c r="M344" s="458"/>
      <c r="N344" s="458"/>
      <c r="O344" s="458"/>
      <c r="P344" s="458"/>
      <c r="Q344" s="458"/>
      <c r="R344" s="458"/>
      <c r="S344" s="458"/>
      <c r="T344" s="458"/>
      <c r="U344" s="458"/>
      <c r="V344" s="458"/>
      <c r="W344" s="458"/>
    </row>
    <row r="345" spans="1:23" ht="15.75" customHeight="1">
      <c r="A345" s="458"/>
      <c r="B345" s="458"/>
      <c r="C345" s="458"/>
      <c r="D345" s="458"/>
      <c r="E345" s="458"/>
      <c r="F345" s="458"/>
      <c r="G345" s="458"/>
      <c r="H345" s="458"/>
      <c r="I345" s="458"/>
      <c r="J345" s="458"/>
      <c r="K345" s="458"/>
      <c r="L345" s="458"/>
      <c r="M345" s="458"/>
      <c r="N345" s="458"/>
      <c r="O345" s="458"/>
      <c r="P345" s="458"/>
      <c r="Q345" s="458"/>
      <c r="R345" s="458"/>
      <c r="S345" s="458"/>
      <c r="T345" s="458"/>
      <c r="U345" s="458"/>
      <c r="V345" s="458"/>
      <c r="W345" s="458"/>
    </row>
    <row r="346" spans="1:23" ht="15.75" customHeight="1">
      <c r="A346" s="458"/>
      <c r="B346" s="458"/>
      <c r="C346" s="458"/>
      <c r="D346" s="458"/>
      <c r="E346" s="458"/>
      <c r="F346" s="458"/>
      <c r="G346" s="458"/>
      <c r="H346" s="458"/>
      <c r="I346" s="458"/>
      <c r="J346" s="458"/>
      <c r="K346" s="458"/>
      <c r="L346" s="458"/>
      <c r="M346" s="458"/>
      <c r="N346" s="458"/>
      <c r="O346" s="458"/>
      <c r="P346" s="458"/>
      <c r="Q346" s="458"/>
      <c r="R346" s="458"/>
      <c r="S346" s="458"/>
      <c r="T346" s="458"/>
      <c r="U346" s="458"/>
      <c r="V346" s="458"/>
      <c r="W346" s="458"/>
    </row>
    <row r="347" spans="1:23" ht="15.75" customHeight="1">
      <c r="A347" s="458"/>
      <c r="B347" s="458"/>
      <c r="C347" s="458"/>
      <c r="D347" s="458"/>
      <c r="E347" s="458"/>
      <c r="F347" s="458"/>
      <c r="G347" s="458"/>
      <c r="H347" s="458"/>
      <c r="I347" s="458"/>
      <c r="J347" s="458"/>
      <c r="K347" s="458"/>
      <c r="L347" s="458"/>
      <c r="M347" s="458"/>
      <c r="N347" s="458"/>
      <c r="O347" s="458"/>
      <c r="P347" s="458"/>
      <c r="Q347" s="458"/>
      <c r="R347" s="458"/>
      <c r="S347" s="458"/>
      <c r="T347" s="458"/>
      <c r="U347" s="458"/>
      <c r="V347" s="458"/>
      <c r="W347" s="458"/>
    </row>
    <row r="348" spans="1:23" ht="15.75" customHeight="1">
      <c r="A348" s="458"/>
      <c r="B348" s="458"/>
      <c r="C348" s="458"/>
      <c r="D348" s="458"/>
      <c r="E348" s="458"/>
      <c r="F348" s="458"/>
      <c r="G348" s="458"/>
      <c r="H348" s="458"/>
      <c r="I348" s="458"/>
      <c r="J348" s="458"/>
      <c r="K348" s="458"/>
      <c r="L348" s="458"/>
      <c r="M348" s="458"/>
      <c r="N348" s="458"/>
      <c r="O348" s="458"/>
      <c r="P348" s="458"/>
      <c r="Q348" s="458"/>
      <c r="R348" s="458"/>
      <c r="S348" s="458"/>
      <c r="T348" s="458"/>
      <c r="U348" s="458"/>
      <c r="V348" s="458"/>
      <c r="W348" s="458"/>
    </row>
    <row r="349" spans="1:23" ht="15.75" customHeight="1">
      <c r="A349" s="458"/>
      <c r="B349" s="458"/>
      <c r="C349" s="458"/>
      <c r="D349" s="458"/>
      <c r="E349" s="458"/>
      <c r="F349" s="458"/>
      <c r="G349" s="458"/>
      <c r="H349" s="458"/>
      <c r="I349" s="458"/>
      <c r="J349" s="458"/>
      <c r="K349" s="458"/>
      <c r="L349" s="458"/>
      <c r="M349" s="458"/>
      <c r="N349" s="458"/>
      <c r="O349" s="458"/>
      <c r="P349" s="458"/>
      <c r="Q349" s="458"/>
      <c r="R349" s="458"/>
      <c r="S349" s="458"/>
      <c r="T349" s="458"/>
      <c r="U349" s="458"/>
      <c r="V349" s="458"/>
      <c r="W349" s="458"/>
    </row>
    <row r="350" spans="1:23" ht="15.75" customHeight="1">
      <c r="A350" s="458"/>
      <c r="B350" s="458"/>
      <c r="C350" s="458"/>
      <c r="D350" s="458"/>
      <c r="E350" s="458"/>
      <c r="F350" s="458"/>
      <c r="G350" s="458"/>
      <c r="H350" s="458"/>
      <c r="I350" s="458"/>
      <c r="J350" s="458"/>
      <c r="K350" s="458"/>
      <c r="L350" s="458"/>
      <c r="M350" s="458"/>
      <c r="N350" s="458"/>
      <c r="O350" s="458"/>
      <c r="P350" s="458"/>
      <c r="Q350" s="458"/>
      <c r="R350" s="458"/>
      <c r="S350" s="458"/>
      <c r="T350" s="458"/>
      <c r="U350" s="458"/>
      <c r="V350" s="458"/>
      <c r="W350" s="458"/>
    </row>
    <row r="351" spans="1:23" ht="15.75" customHeight="1">
      <c r="A351" s="458"/>
      <c r="B351" s="458"/>
      <c r="C351" s="458"/>
      <c r="D351" s="458"/>
      <c r="E351" s="458"/>
      <c r="F351" s="458"/>
      <c r="G351" s="458"/>
      <c r="H351" s="458"/>
      <c r="I351" s="458"/>
      <c r="J351" s="458"/>
      <c r="K351" s="458"/>
      <c r="L351" s="458"/>
      <c r="M351" s="458"/>
      <c r="N351" s="458"/>
      <c r="O351" s="458"/>
      <c r="P351" s="458"/>
      <c r="Q351" s="458"/>
      <c r="R351" s="458"/>
      <c r="S351" s="458"/>
      <c r="T351" s="458"/>
      <c r="U351" s="458"/>
      <c r="V351" s="458"/>
      <c r="W351" s="458"/>
    </row>
    <row r="352" spans="1:23" ht="15.75" customHeight="1">
      <c r="A352" s="458"/>
      <c r="B352" s="458"/>
      <c r="C352" s="458"/>
      <c r="D352" s="458"/>
      <c r="E352" s="458"/>
      <c r="F352" s="458"/>
      <c r="G352" s="458"/>
      <c r="H352" s="458"/>
      <c r="I352" s="458"/>
      <c r="J352" s="458"/>
      <c r="K352" s="458"/>
      <c r="L352" s="458"/>
      <c r="M352" s="458"/>
      <c r="N352" s="458"/>
      <c r="O352" s="458"/>
      <c r="P352" s="458"/>
      <c r="Q352" s="458"/>
      <c r="R352" s="458"/>
      <c r="S352" s="458"/>
      <c r="T352" s="458"/>
      <c r="U352" s="458"/>
      <c r="V352" s="458"/>
      <c r="W352" s="458"/>
    </row>
    <row r="353" spans="1:23" ht="15.75" customHeight="1">
      <c r="A353" s="458"/>
      <c r="B353" s="458"/>
      <c r="C353" s="458"/>
      <c r="D353" s="458"/>
      <c r="E353" s="458"/>
      <c r="F353" s="458"/>
      <c r="G353" s="458"/>
      <c r="H353" s="458"/>
      <c r="I353" s="458"/>
      <c r="J353" s="458"/>
      <c r="K353" s="458"/>
      <c r="L353" s="458"/>
      <c r="M353" s="458"/>
      <c r="N353" s="458"/>
      <c r="O353" s="458"/>
      <c r="P353" s="458"/>
      <c r="Q353" s="458"/>
      <c r="R353" s="458"/>
      <c r="S353" s="458"/>
      <c r="T353" s="458"/>
      <c r="U353" s="458"/>
      <c r="V353" s="458"/>
      <c r="W353" s="458"/>
    </row>
    <row r="354" spans="1:23" ht="15.75" customHeight="1">
      <c r="A354" s="458"/>
      <c r="B354" s="458"/>
      <c r="C354" s="458"/>
      <c r="D354" s="458"/>
      <c r="E354" s="458"/>
      <c r="F354" s="458"/>
      <c r="G354" s="458"/>
      <c r="H354" s="458"/>
      <c r="I354" s="458"/>
      <c r="J354" s="458"/>
      <c r="K354" s="458"/>
      <c r="L354" s="458"/>
      <c r="M354" s="458"/>
      <c r="N354" s="458"/>
      <c r="O354" s="458"/>
      <c r="P354" s="458"/>
      <c r="Q354" s="458"/>
      <c r="R354" s="458"/>
      <c r="S354" s="458"/>
      <c r="T354" s="458"/>
      <c r="U354" s="458"/>
      <c r="V354" s="458"/>
      <c r="W354" s="458"/>
    </row>
    <row r="355" spans="1:23" ht="15.75" customHeight="1">
      <c r="A355" s="458"/>
      <c r="B355" s="458"/>
      <c r="C355" s="458"/>
      <c r="D355" s="458"/>
      <c r="E355" s="458"/>
      <c r="F355" s="458"/>
      <c r="G355" s="458"/>
      <c r="H355" s="458"/>
      <c r="I355" s="458"/>
      <c r="J355" s="458"/>
      <c r="K355" s="458"/>
      <c r="L355" s="458"/>
      <c r="M355" s="458"/>
      <c r="N355" s="458"/>
      <c r="O355" s="458"/>
      <c r="P355" s="458"/>
      <c r="Q355" s="458"/>
      <c r="R355" s="458"/>
      <c r="S355" s="458"/>
      <c r="T355" s="458"/>
      <c r="U355" s="458"/>
      <c r="V355" s="458"/>
      <c r="W355" s="458"/>
    </row>
    <row r="356" spans="1:23" ht="15.75" customHeight="1">
      <c r="A356" s="458"/>
      <c r="B356" s="458"/>
      <c r="C356" s="458"/>
      <c r="D356" s="458"/>
      <c r="E356" s="458"/>
      <c r="F356" s="458"/>
      <c r="G356" s="458"/>
      <c r="H356" s="458"/>
      <c r="I356" s="458"/>
      <c r="J356" s="458"/>
      <c r="K356" s="458"/>
      <c r="L356" s="458"/>
      <c r="M356" s="458"/>
      <c r="N356" s="458"/>
      <c r="O356" s="458"/>
      <c r="P356" s="458"/>
      <c r="Q356" s="458"/>
      <c r="R356" s="458"/>
      <c r="S356" s="458"/>
      <c r="T356" s="458"/>
      <c r="U356" s="458"/>
      <c r="V356" s="458"/>
      <c r="W356" s="458"/>
    </row>
    <row r="357" spans="1:23" ht="15.75" customHeight="1">
      <c r="A357" s="458"/>
      <c r="B357" s="458"/>
      <c r="C357" s="458"/>
      <c r="D357" s="458"/>
      <c r="E357" s="458"/>
      <c r="F357" s="458"/>
      <c r="G357" s="458"/>
      <c r="H357" s="458"/>
      <c r="I357" s="458"/>
      <c r="J357" s="458"/>
      <c r="K357" s="458"/>
      <c r="L357" s="458"/>
      <c r="M357" s="458"/>
      <c r="N357" s="458"/>
      <c r="O357" s="458"/>
      <c r="P357" s="458"/>
      <c r="Q357" s="458"/>
      <c r="R357" s="458"/>
      <c r="S357" s="458"/>
      <c r="T357" s="458"/>
      <c r="U357" s="458"/>
      <c r="V357" s="458"/>
      <c r="W357" s="458"/>
    </row>
    <row r="358" spans="1:23" ht="15.75" customHeight="1">
      <c r="A358" s="458"/>
      <c r="B358" s="458"/>
      <c r="C358" s="458"/>
      <c r="D358" s="458"/>
      <c r="E358" s="458"/>
      <c r="F358" s="458"/>
      <c r="G358" s="458"/>
      <c r="H358" s="458"/>
      <c r="I358" s="458"/>
      <c r="J358" s="458"/>
      <c r="K358" s="458"/>
      <c r="L358" s="458"/>
      <c r="M358" s="458"/>
      <c r="N358" s="458"/>
      <c r="O358" s="458"/>
      <c r="P358" s="458"/>
      <c r="Q358" s="458"/>
      <c r="R358" s="458"/>
      <c r="S358" s="458"/>
      <c r="T358" s="458"/>
      <c r="U358" s="458"/>
      <c r="V358" s="458"/>
      <c r="W358" s="458"/>
    </row>
    <row r="359" spans="1:23" ht="15.75" customHeight="1">
      <c r="A359" s="458"/>
      <c r="B359" s="458"/>
      <c r="C359" s="458"/>
      <c r="D359" s="458"/>
      <c r="E359" s="458"/>
      <c r="F359" s="458"/>
      <c r="G359" s="458"/>
      <c r="H359" s="458"/>
      <c r="I359" s="458"/>
      <c r="J359" s="458"/>
      <c r="K359" s="458"/>
      <c r="L359" s="458"/>
      <c r="M359" s="458"/>
      <c r="N359" s="458"/>
      <c r="O359" s="458"/>
      <c r="P359" s="458"/>
      <c r="Q359" s="458"/>
      <c r="R359" s="458"/>
      <c r="S359" s="458"/>
      <c r="T359" s="458"/>
      <c r="U359" s="458"/>
      <c r="V359" s="458"/>
      <c r="W359" s="458"/>
    </row>
    <row r="360" spans="1:23" ht="15.75" customHeight="1">
      <c r="A360" s="458"/>
      <c r="B360" s="458"/>
      <c r="C360" s="458"/>
      <c r="D360" s="458"/>
      <c r="E360" s="458"/>
      <c r="F360" s="458"/>
      <c r="G360" s="458"/>
      <c r="H360" s="458"/>
      <c r="I360" s="458"/>
      <c r="J360" s="458"/>
      <c r="K360" s="458"/>
      <c r="L360" s="458"/>
      <c r="M360" s="458"/>
      <c r="N360" s="458"/>
      <c r="O360" s="458"/>
      <c r="P360" s="458"/>
      <c r="Q360" s="458"/>
      <c r="R360" s="458"/>
      <c r="S360" s="458"/>
      <c r="T360" s="458"/>
      <c r="U360" s="458"/>
      <c r="V360" s="458"/>
      <c r="W360" s="458"/>
    </row>
    <row r="361" spans="1:23" ht="15.75" customHeight="1">
      <c r="A361" s="458"/>
      <c r="B361" s="458"/>
      <c r="C361" s="458"/>
      <c r="D361" s="458"/>
      <c r="E361" s="458"/>
      <c r="F361" s="458"/>
      <c r="G361" s="458"/>
      <c r="H361" s="458"/>
      <c r="I361" s="458"/>
      <c r="J361" s="458"/>
      <c r="K361" s="458"/>
      <c r="L361" s="458"/>
      <c r="M361" s="458"/>
      <c r="N361" s="458"/>
      <c r="O361" s="458"/>
      <c r="P361" s="458"/>
      <c r="Q361" s="458"/>
      <c r="R361" s="458"/>
      <c r="S361" s="458"/>
      <c r="T361" s="458"/>
      <c r="U361" s="458"/>
      <c r="V361" s="458"/>
      <c r="W361" s="458"/>
    </row>
    <row r="362" spans="1:23" ht="15.75" customHeight="1">
      <c r="A362" s="458"/>
      <c r="B362" s="458"/>
      <c r="C362" s="458"/>
      <c r="D362" s="458"/>
      <c r="E362" s="458"/>
      <c r="F362" s="458"/>
      <c r="G362" s="458"/>
      <c r="H362" s="458"/>
      <c r="I362" s="458"/>
      <c r="J362" s="458"/>
      <c r="K362" s="458"/>
      <c r="L362" s="458"/>
      <c r="M362" s="458"/>
      <c r="N362" s="458"/>
      <c r="O362" s="458"/>
      <c r="P362" s="458"/>
      <c r="Q362" s="458"/>
      <c r="R362" s="458"/>
      <c r="S362" s="458"/>
      <c r="T362" s="458"/>
      <c r="U362" s="458"/>
      <c r="V362" s="458"/>
      <c r="W362" s="458"/>
    </row>
    <row r="363" spans="1:23" ht="15.75" customHeight="1">
      <c r="A363" s="458"/>
      <c r="B363" s="458"/>
      <c r="C363" s="458"/>
      <c r="D363" s="458"/>
      <c r="E363" s="458"/>
      <c r="F363" s="458"/>
      <c r="G363" s="458"/>
      <c r="H363" s="458"/>
      <c r="I363" s="458"/>
      <c r="J363" s="458"/>
      <c r="K363" s="458"/>
      <c r="L363" s="458"/>
      <c r="M363" s="458"/>
      <c r="N363" s="458"/>
      <c r="O363" s="458"/>
      <c r="P363" s="458"/>
      <c r="Q363" s="458"/>
      <c r="R363" s="458"/>
      <c r="S363" s="458"/>
      <c r="T363" s="458"/>
      <c r="U363" s="458"/>
      <c r="V363" s="458"/>
      <c r="W363" s="458"/>
    </row>
    <row r="364" spans="1:23" ht="15.75" customHeight="1">
      <c r="A364" s="458"/>
      <c r="B364" s="458"/>
      <c r="C364" s="458"/>
      <c r="D364" s="458"/>
      <c r="E364" s="458"/>
      <c r="F364" s="458"/>
      <c r="G364" s="458"/>
      <c r="H364" s="458"/>
      <c r="I364" s="458"/>
      <c r="J364" s="458"/>
      <c r="K364" s="458"/>
      <c r="L364" s="458"/>
      <c r="M364" s="458"/>
      <c r="N364" s="458"/>
      <c r="O364" s="458"/>
      <c r="P364" s="458"/>
      <c r="Q364" s="458"/>
      <c r="R364" s="458"/>
      <c r="S364" s="458"/>
      <c r="T364" s="458"/>
      <c r="U364" s="458"/>
      <c r="V364" s="458"/>
      <c r="W364" s="458"/>
    </row>
    <row r="365" spans="1:23" ht="15.75" customHeight="1">
      <c r="A365" s="458"/>
      <c r="B365" s="458"/>
      <c r="C365" s="458"/>
      <c r="D365" s="458"/>
      <c r="E365" s="458"/>
      <c r="F365" s="458"/>
      <c r="G365" s="458"/>
      <c r="H365" s="458"/>
      <c r="I365" s="458"/>
      <c r="J365" s="458"/>
      <c r="K365" s="458"/>
      <c r="L365" s="458"/>
      <c r="M365" s="458"/>
      <c r="N365" s="458"/>
      <c r="O365" s="458"/>
      <c r="P365" s="458"/>
      <c r="Q365" s="458"/>
      <c r="R365" s="458"/>
      <c r="S365" s="458"/>
      <c r="T365" s="458"/>
      <c r="U365" s="458"/>
      <c r="V365" s="458"/>
      <c r="W365" s="458"/>
    </row>
    <row r="366" spans="1:23" ht="15.75" customHeight="1">
      <c r="A366" s="458"/>
      <c r="B366" s="458"/>
      <c r="C366" s="458"/>
      <c r="D366" s="458"/>
      <c r="E366" s="458"/>
      <c r="F366" s="458"/>
      <c r="G366" s="458"/>
      <c r="H366" s="458"/>
      <c r="I366" s="458"/>
      <c r="J366" s="458"/>
      <c r="K366" s="458"/>
      <c r="L366" s="458"/>
      <c r="M366" s="458"/>
      <c r="N366" s="458"/>
      <c r="O366" s="458"/>
      <c r="P366" s="458"/>
      <c r="Q366" s="458"/>
      <c r="R366" s="458"/>
      <c r="S366" s="458"/>
      <c r="T366" s="458"/>
      <c r="U366" s="458"/>
      <c r="V366" s="458"/>
      <c r="W366" s="458"/>
    </row>
    <row r="367" spans="1:23" ht="15.75" customHeight="1">
      <c r="A367" s="458"/>
      <c r="B367" s="458"/>
      <c r="C367" s="458"/>
      <c r="D367" s="458"/>
      <c r="E367" s="458"/>
      <c r="F367" s="458"/>
      <c r="G367" s="458"/>
      <c r="H367" s="458"/>
      <c r="I367" s="458"/>
      <c r="J367" s="458"/>
      <c r="K367" s="458"/>
      <c r="L367" s="458"/>
      <c r="M367" s="458"/>
      <c r="N367" s="458"/>
      <c r="O367" s="458"/>
      <c r="P367" s="458"/>
      <c r="Q367" s="458"/>
      <c r="R367" s="458"/>
      <c r="S367" s="458"/>
      <c r="T367" s="458"/>
      <c r="U367" s="458"/>
      <c r="V367" s="458"/>
      <c r="W367" s="458"/>
    </row>
    <row r="368" spans="1:23" ht="15.75" customHeight="1">
      <c r="A368" s="458"/>
      <c r="B368" s="458"/>
      <c r="C368" s="458"/>
      <c r="D368" s="458"/>
      <c r="E368" s="458"/>
      <c r="F368" s="458"/>
      <c r="G368" s="458"/>
      <c r="H368" s="458"/>
      <c r="I368" s="458"/>
      <c r="J368" s="458"/>
      <c r="K368" s="458"/>
      <c r="L368" s="458"/>
      <c r="M368" s="458"/>
      <c r="N368" s="458"/>
      <c r="O368" s="458"/>
      <c r="P368" s="458"/>
      <c r="Q368" s="458"/>
      <c r="R368" s="458"/>
      <c r="S368" s="458"/>
      <c r="T368" s="458"/>
      <c r="U368" s="458"/>
      <c r="V368" s="458"/>
      <c r="W368" s="458"/>
    </row>
    <row r="369" spans="1:23" ht="15.75" customHeight="1">
      <c r="A369" s="458"/>
      <c r="B369" s="458"/>
      <c r="C369" s="458"/>
      <c r="D369" s="458"/>
      <c r="E369" s="458"/>
      <c r="F369" s="458"/>
      <c r="G369" s="458"/>
      <c r="H369" s="458"/>
      <c r="I369" s="458"/>
      <c r="J369" s="458"/>
      <c r="K369" s="458"/>
      <c r="L369" s="458"/>
      <c r="M369" s="458"/>
      <c r="N369" s="458"/>
      <c r="O369" s="458"/>
      <c r="P369" s="458"/>
      <c r="Q369" s="458"/>
      <c r="R369" s="458"/>
      <c r="S369" s="458"/>
      <c r="T369" s="458"/>
      <c r="U369" s="458"/>
      <c r="V369" s="458"/>
      <c r="W369" s="458"/>
    </row>
    <row r="370" spans="1:23" ht="15.75" customHeight="1">
      <c r="A370" s="458"/>
      <c r="B370" s="458"/>
      <c r="C370" s="458"/>
      <c r="D370" s="458"/>
      <c r="E370" s="458"/>
      <c r="F370" s="458"/>
      <c r="G370" s="458"/>
      <c r="H370" s="458"/>
      <c r="I370" s="458"/>
      <c r="J370" s="458"/>
      <c r="K370" s="458"/>
      <c r="L370" s="458"/>
      <c r="M370" s="458"/>
      <c r="N370" s="458"/>
      <c r="O370" s="458"/>
      <c r="P370" s="458"/>
      <c r="Q370" s="458"/>
      <c r="R370" s="458"/>
      <c r="S370" s="458"/>
      <c r="T370" s="458"/>
      <c r="U370" s="458"/>
      <c r="V370" s="458"/>
      <c r="W370" s="458"/>
    </row>
    <row r="371" spans="1:23" ht="15.75" customHeight="1">
      <c r="A371" s="458"/>
      <c r="B371" s="458"/>
      <c r="C371" s="458"/>
      <c r="D371" s="458"/>
      <c r="E371" s="458"/>
      <c r="F371" s="458"/>
      <c r="G371" s="458"/>
      <c r="H371" s="458"/>
      <c r="I371" s="458"/>
      <c r="J371" s="458"/>
      <c r="K371" s="458"/>
      <c r="L371" s="458"/>
      <c r="M371" s="458"/>
      <c r="N371" s="458"/>
      <c r="O371" s="458"/>
      <c r="P371" s="458"/>
      <c r="Q371" s="458"/>
      <c r="R371" s="458"/>
      <c r="S371" s="458"/>
      <c r="T371" s="458"/>
      <c r="U371" s="458"/>
      <c r="V371" s="458"/>
      <c r="W371" s="458"/>
    </row>
    <row r="372" spans="1:23" ht="15.75" customHeight="1">
      <c r="A372" s="458"/>
      <c r="B372" s="458"/>
      <c r="C372" s="458"/>
      <c r="D372" s="458"/>
      <c r="E372" s="458"/>
      <c r="F372" s="458"/>
      <c r="G372" s="458"/>
      <c r="H372" s="458"/>
      <c r="I372" s="458"/>
      <c r="J372" s="458"/>
      <c r="K372" s="458"/>
      <c r="L372" s="458"/>
      <c r="M372" s="458"/>
      <c r="N372" s="458"/>
      <c r="O372" s="458"/>
      <c r="P372" s="458"/>
      <c r="Q372" s="458"/>
      <c r="R372" s="458"/>
      <c r="S372" s="458"/>
      <c r="T372" s="458"/>
      <c r="U372" s="458"/>
      <c r="V372" s="458"/>
      <c r="W372" s="458"/>
    </row>
    <row r="373" spans="1:23" ht="15.75" customHeight="1">
      <c r="A373" s="458"/>
      <c r="B373" s="458"/>
      <c r="C373" s="458"/>
      <c r="D373" s="458"/>
      <c r="E373" s="458"/>
      <c r="F373" s="458"/>
      <c r="G373" s="458"/>
      <c r="H373" s="458"/>
      <c r="I373" s="458"/>
      <c r="J373" s="458"/>
      <c r="K373" s="458"/>
      <c r="L373" s="458"/>
      <c r="M373" s="458"/>
      <c r="N373" s="458"/>
      <c r="O373" s="458"/>
      <c r="P373" s="458"/>
      <c r="Q373" s="458"/>
      <c r="R373" s="458"/>
      <c r="S373" s="458"/>
      <c r="T373" s="458"/>
      <c r="U373" s="458"/>
      <c r="V373" s="458"/>
      <c r="W373" s="458"/>
    </row>
    <row r="374" spans="1:23" ht="15.75" customHeight="1">
      <c r="A374" s="458"/>
      <c r="B374" s="458"/>
      <c r="C374" s="458"/>
      <c r="D374" s="458"/>
      <c r="E374" s="458"/>
      <c r="F374" s="458"/>
      <c r="G374" s="458"/>
      <c r="H374" s="458"/>
      <c r="I374" s="458"/>
      <c r="J374" s="458"/>
      <c r="K374" s="458"/>
      <c r="L374" s="458"/>
      <c r="M374" s="458"/>
      <c r="N374" s="458"/>
      <c r="O374" s="458"/>
      <c r="P374" s="458"/>
      <c r="Q374" s="458"/>
      <c r="R374" s="458"/>
      <c r="S374" s="458"/>
      <c r="T374" s="458"/>
      <c r="U374" s="458"/>
      <c r="V374" s="458"/>
      <c r="W374" s="458"/>
    </row>
    <row r="375" spans="1:23" ht="15.75" customHeight="1">
      <c r="A375" s="458"/>
      <c r="B375" s="458"/>
      <c r="C375" s="458"/>
      <c r="D375" s="458"/>
      <c r="E375" s="458"/>
      <c r="F375" s="458"/>
      <c r="G375" s="458"/>
      <c r="H375" s="458"/>
      <c r="I375" s="458"/>
      <c r="J375" s="458"/>
      <c r="K375" s="458"/>
      <c r="L375" s="458"/>
      <c r="M375" s="458"/>
      <c r="N375" s="458"/>
      <c r="O375" s="458"/>
      <c r="P375" s="458"/>
      <c r="Q375" s="458"/>
      <c r="R375" s="458"/>
      <c r="S375" s="458"/>
      <c r="T375" s="458"/>
      <c r="U375" s="458"/>
      <c r="V375" s="458"/>
      <c r="W375" s="458"/>
    </row>
    <row r="376" spans="1:23" ht="15.75" customHeight="1">
      <c r="A376" s="458"/>
      <c r="B376" s="458"/>
      <c r="C376" s="458"/>
      <c r="D376" s="458"/>
      <c r="E376" s="458"/>
      <c r="F376" s="458"/>
      <c r="G376" s="458"/>
      <c r="H376" s="458"/>
      <c r="I376" s="458"/>
      <c r="J376" s="458"/>
      <c r="K376" s="458"/>
      <c r="L376" s="458"/>
      <c r="M376" s="458"/>
      <c r="N376" s="458"/>
      <c r="O376" s="458"/>
      <c r="P376" s="458"/>
      <c r="Q376" s="458"/>
      <c r="R376" s="458"/>
      <c r="S376" s="458"/>
      <c r="T376" s="458"/>
      <c r="U376" s="458"/>
      <c r="V376" s="458"/>
      <c r="W376" s="458"/>
    </row>
    <row r="377" spans="1:23" ht="15.75" customHeight="1">
      <c r="A377" s="458"/>
      <c r="B377" s="458"/>
      <c r="C377" s="458"/>
      <c r="D377" s="458"/>
      <c r="E377" s="458"/>
      <c r="F377" s="458"/>
      <c r="G377" s="458"/>
      <c r="H377" s="458"/>
      <c r="I377" s="458"/>
      <c r="J377" s="458"/>
      <c r="K377" s="458"/>
      <c r="L377" s="458"/>
      <c r="M377" s="458"/>
      <c r="N377" s="458"/>
      <c r="O377" s="458"/>
      <c r="P377" s="458"/>
      <c r="Q377" s="458"/>
      <c r="R377" s="458"/>
      <c r="S377" s="458"/>
      <c r="T377" s="458"/>
      <c r="U377" s="458"/>
      <c r="V377" s="458"/>
      <c r="W377" s="458"/>
    </row>
    <row r="378" spans="1:23" ht="15.75" customHeight="1">
      <c r="A378" s="458"/>
      <c r="B378" s="458"/>
      <c r="C378" s="458"/>
      <c r="D378" s="458"/>
      <c r="E378" s="458"/>
      <c r="F378" s="458"/>
      <c r="G378" s="458"/>
      <c r="H378" s="458"/>
      <c r="I378" s="458"/>
      <c r="J378" s="458"/>
      <c r="K378" s="458"/>
      <c r="L378" s="458"/>
      <c r="M378" s="458"/>
      <c r="N378" s="458"/>
      <c r="O378" s="458"/>
      <c r="P378" s="458"/>
      <c r="Q378" s="458"/>
      <c r="R378" s="458"/>
      <c r="S378" s="458"/>
      <c r="T378" s="458"/>
      <c r="U378" s="458"/>
      <c r="V378" s="458"/>
      <c r="W378" s="458"/>
    </row>
    <row r="379" spans="1:23" ht="15.75" customHeight="1">
      <c r="A379" s="458"/>
      <c r="B379" s="458"/>
      <c r="C379" s="458"/>
      <c r="D379" s="458"/>
      <c r="E379" s="458"/>
      <c r="F379" s="458"/>
      <c r="G379" s="458"/>
      <c r="H379" s="458"/>
      <c r="I379" s="458"/>
      <c r="J379" s="458"/>
      <c r="K379" s="458"/>
      <c r="L379" s="458"/>
      <c r="M379" s="458"/>
      <c r="N379" s="458"/>
      <c r="O379" s="458"/>
      <c r="P379" s="458"/>
      <c r="Q379" s="458"/>
      <c r="R379" s="458"/>
      <c r="S379" s="458"/>
      <c r="T379" s="458"/>
      <c r="U379" s="458"/>
      <c r="V379" s="458"/>
      <c r="W379" s="458"/>
    </row>
    <row r="380" spans="1:23" ht="15.75" customHeight="1">
      <c r="A380" s="458"/>
      <c r="B380" s="458"/>
      <c r="C380" s="458"/>
      <c r="D380" s="458"/>
      <c r="E380" s="458"/>
      <c r="F380" s="458"/>
      <c r="G380" s="458"/>
      <c r="H380" s="458"/>
      <c r="I380" s="458"/>
      <c r="J380" s="458"/>
      <c r="K380" s="458"/>
      <c r="L380" s="458"/>
      <c r="M380" s="458"/>
      <c r="N380" s="458"/>
      <c r="O380" s="458"/>
      <c r="P380" s="458"/>
      <c r="Q380" s="458"/>
      <c r="R380" s="458"/>
      <c r="S380" s="458"/>
      <c r="T380" s="458"/>
      <c r="U380" s="458"/>
      <c r="V380" s="458"/>
      <c r="W380" s="458"/>
    </row>
    <row r="381" spans="1:23" ht="15.75" customHeight="1">
      <c r="A381" s="458"/>
      <c r="B381" s="458"/>
      <c r="C381" s="458"/>
      <c r="D381" s="458"/>
      <c r="E381" s="458"/>
      <c r="F381" s="458"/>
      <c r="G381" s="458"/>
      <c r="H381" s="458"/>
      <c r="I381" s="458"/>
      <c r="J381" s="458"/>
      <c r="K381" s="458"/>
      <c r="L381" s="458"/>
      <c r="M381" s="458"/>
      <c r="N381" s="458"/>
      <c r="O381" s="458"/>
      <c r="P381" s="458"/>
      <c r="Q381" s="458"/>
      <c r="R381" s="458"/>
      <c r="S381" s="458"/>
      <c r="T381" s="458"/>
      <c r="U381" s="458"/>
      <c r="V381" s="458"/>
      <c r="W381" s="458"/>
    </row>
    <row r="382" spans="1:23" ht="15.75" customHeight="1">
      <c r="A382" s="458"/>
      <c r="B382" s="458"/>
      <c r="C382" s="458"/>
      <c r="D382" s="458"/>
      <c r="E382" s="458"/>
      <c r="F382" s="458"/>
      <c r="G382" s="458"/>
      <c r="H382" s="458"/>
      <c r="I382" s="458"/>
      <c r="J382" s="458"/>
      <c r="K382" s="458"/>
      <c r="L382" s="458"/>
      <c r="M382" s="458"/>
      <c r="N382" s="458"/>
      <c r="O382" s="458"/>
      <c r="P382" s="458"/>
      <c r="Q382" s="458"/>
      <c r="R382" s="458"/>
      <c r="S382" s="458"/>
      <c r="T382" s="458"/>
      <c r="U382" s="458"/>
      <c r="V382" s="458"/>
      <c r="W382" s="458"/>
    </row>
    <row r="383" spans="1:23" ht="15.75" customHeight="1">
      <c r="A383" s="458"/>
      <c r="B383" s="458"/>
      <c r="C383" s="458"/>
      <c r="D383" s="458"/>
      <c r="E383" s="458"/>
      <c r="F383" s="458"/>
      <c r="G383" s="458"/>
      <c r="H383" s="458"/>
      <c r="I383" s="458"/>
      <c r="J383" s="458"/>
      <c r="K383" s="458"/>
      <c r="L383" s="458"/>
      <c r="M383" s="458"/>
      <c r="N383" s="458"/>
      <c r="O383" s="458"/>
      <c r="P383" s="458"/>
      <c r="Q383" s="458"/>
      <c r="R383" s="458"/>
      <c r="S383" s="458"/>
      <c r="T383" s="458"/>
      <c r="U383" s="458"/>
      <c r="V383" s="458"/>
      <c r="W383" s="458"/>
    </row>
    <row r="384" spans="1:23" ht="15.75" customHeight="1">
      <c r="A384" s="458"/>
      <c r="B384" s="458"/>
      <c r="C384" s="458"/>
      <c r="D384" s="458"/>
      <c r="E384" s="458"/>
      <c r="F384" s="458"/>
      <c r="G384" s="458"/>
      <c r="H384" s="458"/>
      <c r="I384" s="458"/>
      <c r="J384" s="458"/>
      <c r="K384" s="458"/>
      <c r="L384" s="458"/>
      <c r="M384" s="458"/>
      <c r="N384" s="458"/>
      <c r="O384" s="458"/>
      <c r="P384" s="458"/>
      <c r="Q384" s="458"/>
      <c r="R384" s="458"/>
      <c r="S384" s="458"/>
      <c r="T384" s="458"/>
      <c r="U384" s="458"/>
      <c r="V384" s="458"/>
      <c r="W384" s="458"/>
    </row>
    <row r="385" spans="1:23" ht="15.75" customHeight="1">
      <c r="A385" s="458"/>
      <c r="B385" s="458"/>
      <c r="C385" s="458"/>
      <c r="D385" s="458"/>
      <c r="E385" s="458"/>
      <c r="F385" s="458"/>
      <c r="G385" s="458"/>
      <c r="H385" s="458"/>
      <c r="I385" s="458"/>
      <c r="J385" s="458"/>
      <c r="K385" s="458"/>
      <c r="L385" s="458"/>
      <c r="M385" s="458"/>
      <c r="N385" s="458"/>
      <c r="O385" s="458"/>
      <c r="P385" s="458"/>
      <c r="Q385" s="458"/>
      <c r="R385" s="458"/>
      <c r="S385" s="458"/>
      <c r="T385" s="458"/>
      <c r="U385" s="458"/>
      <c r="V385" s="458"/>
      <c r="W385" s="458"/>
    </row>
    <row r="386" spans="1:23" ht="15.75" customHeight="1">
      <c r="A386" s="458"/>
      <c r="B386" s="458"/>
      <c r="C386" s="458"/>
      <c r="D386" s="458"/>
      <c r="E386" s="458"/>
      <c r="F386" s="458"/>
      <c r="G386" s="458"/>
      <c r="H386" s="458"/>
      <c r="I386" s="458"/>
      <c r="J386" s="458"/>
      <c r="K386" s="458"/>
      <c r="L386" s="458"/>
      <c r="M386" s="458"/>
      <c r="N386" s="458"/>
      <c r="O386" s="458"/>
      <c r="P386" s="458"/>
      <c r="Q386" s="458"/>
      <c r="R386" s="458"/>
      <c r="S386" s="458"/>
      <c r="T386" s="458"/>
      <c r="U386" s="458"/>
      <c r="V386" s="458"/>
      <c r="W386" s="458"/>
    </row>
    <row r="387" spans="1:23" ht="15.75" customHeight="1">
      <c r="A387" s="458"/>
      <c r="B387" s="458"/>
      <c r="C387" s="458"/>
      <c r="D387" s="458"/>
      <c r="E387" s="458"/>
      <c r="F387" s="458"/>
      <c r="G387" s="458"/>
      <c r="H387" s="458"/>
      <c r="I387" s="458"/>
      <c r="J387" s="458"/>
      <c r="K387" s="458"/>
      <c r="L387" s="458"/>
      <c r="M387" s="458"/>
      <c r="N387" s="458"/>
      <c r="O387" s="458"/>
      <c r="P387" s="458"/>
      <c r="Q387" s="458"/>
      <c r="R387" s="458"/>
      <c r="S387" s="458"/>
      <c r="T387" s="458"/>
      <c r="U387" s="458"/>
      <c r="V387" s="458"/>
      <c r="W387" s="458"/>
    </row>
    <row r="388" spans="1:23" ht="15.75" customHeight="1">
      <c r="A388" s="458"/>
      <c r="B388" s="458"/>
      <c r="C388" s="458"/>
      <c r="D388" s="458"/>
      <c r="E388" s="458"/>
      <c r="F388" s="458"/>
      <c r="G388" s="458"/>
      <c r="H388" s="458"/>
      <c r="I388" s="458"/>
      <c r="J388" s="458"/>
      <c r="K388" s="458"/>
      <c r="L388" s="458"/>
      <c r="M388" s="458"/>
      <c r="N388" s="458"/>
      <c r="O388" s="458"/>
      <c r="P388" s="458"/>
      <c r="Q388" s="458"/>
      <c r="R388" s="458"/>
      <c r="S388" s="458"/>
      <c r="T388" s="458"/>
      <c r="U388" s="458"/>
      <c r="V388" s="458"/>
      <c r="W388" s="458"/>
    </row>
    <row r="389" spans="1:23" ht="15.75" customHeight="1">
      <c r="A389" s="458"/>
      <c r="B389" s="458"/>
      <c r="C389" s="458"/>
      <c r="D389" s="458"/>
      <c r="E389" s="458"/>
      <c r="F389" s="458"/>
      <c r="G389" s="458"/>
      <c r="H389" s="458"/>
      <c r="I389" s="458"/>
      <c r="J389" s="458"/>
      <c r="K389" s="458"/>
      <c r="L389" s="458"/>
      <c r="M389" s="458"/>
      <c r="N389" s="458"/>
      <c r="O389" s="458"/>
      <c r="P389" s="458"/>
      <c r="Q389" s="458"/>
      <c r="R389" s="458"/>
      <c r="S389" s="458"/>
      <c r="T389" s="458"/>
      <c r="U389" s="458"/>
      <c r="V389" s="458"/>
      <c r="W389" s="458"/>
    </row>
    <row r="390" spans="1:23" ht="15.75" customHeight="1">
      <c r="A390" s="458"/>
      <c r="B390" s="458"/>
      <c r="C390" s="458"/>
      <c r="D390" s="458"/>
      <c r="E390" s="458"/>
      <c r="F390" s="458"/>
      <c r="G390" s="458"/>
      <c r="H390" s="458"/>
      <c r="I390" s="458"/>
      <c r="J390" s="458"/>
      <c r="K390" s="458"/>
      <c r="L390" s="458"/>
      <c r="M390" s="458"/>
      <c r="N390" s="458"/>
      <c r="O390" s="458"/>
      <c r="P390" s="458"/>
      <c r="Q390" s="458"/>
      <c r="R390" s="458"/>
      <c r="S390" s="458"/>
      <c r="T390" s="458"/>
      <c r="U390" s="458"/>
      <c r="V390" s="458"/>
      <c r="W390" s="458"/>
    </row>
    <row r="391" spans="1:23" ht="15.75" customHeight="1">
      <c r="A391" s="458"/>
      <c r="B391" s="458"/>
      <c r="C391" s="458"/>
      <c r="D391" s="458"/>
      <c r="E391" s="458"/>
      <c r="F391" s="458"/>
      <c r="G391" s="458"/>
      <c r="H391" s="458"/>
      <c r="I391" s="458"/>
      <c r="J391" s="458"/>
      <c r="K391" s="458"/>
      <c r="L391" s="458"/>
      <c r="M391" s="458"/>
      <c r="N391" s="458"/>
      <c r="O391" s="458"/>
      <c r="P391" s="458"/>
      <c r="Q391" s="458"/>
      <c r="R391" s="458"/>
      <c r="S391" s="458"/>
      <c r="T391" s="458"/>
      <c r="U391" s="458"/>
      <c r="V391" s="458"/>
      <c r="W391" s="458"/>
    </row>
    <row r="392" spans="1:23" ht="15.75" customHeight="1">
      <c r="A392" s="458"/>
      <c r="B392" s="458"/>
      <c r="C392" s="458"/>
      <c r="D392" s="458"/>
      <c r="E392" s="458"/>
      <c r="F392" s="458"/>
      <c r="G392" s="458"/>
      <c r="H392" s="458"/>
      <c r="I392" s="458"/>
      <c r="J392" s="458"/>
      <c r="K392" s="458"/>
      <c r="L392" s="458"/>
      <c r="M392" s="458"/>
      <c r="N392" s="458"/>
      <c r="O392" s="458"/>
      <c r="P392" s="458"/>
      <c r="Q392" s="458"/>
      <c r="R392" s="458"/>
      <c r="S392" s="458"/>
      <c r="T392" s="458"/>
      <c r="U392" s="458"/>
      <c r="V392" s="458"/>
      <c r="W392" s="458"/>
    </row>
    <row r="393" spans="1:23" ht="15.75" customHeight="1">
      <c r="A393" s="458"/>
      <c r="B393" s="458"/>
      <c r="C393" s="458"/>
      <c r="D393" s="458"/>
      <c r="E393" s="458"/>
      <c r="F393" s="458"/>
      <c r="G393" s="458"/>
      <c r="H393" s="458"/>
      <c r="I393" s="458"/>
      <c r="J393" s="458"/>
      <c r="K393" s="458"/>
      <c r="L393" s="458"/>
      <c r="M393" s="458"/>
      <c r="N393" s="458"/>
      <c r="O393" s="458"/>
      <c r="P393" s="458"/>
      <c r="Q393" s="458"/>
      <c r="R393" s="458"/>
      <c r="S393" s="458"/>
      <c r="T393" s="458"/>
      <c r="U393" s="458"/>
      <c r="V393" s="458"/>
      <c r="W393" s="458"/>
    </row>
    <row r="394" spans="1:23" ht="15.75" customHeight="1">
      <c r="A394" s="458"/>
      <c r="B394" s="458"/>
      <c r="C394" s="458"/>
      <c r="D394" s="458"/>
      <c r="E394" s="458"/>
      <c r="F394" s="458"/>
      <c r="G394" s="458"/>
      <c r="H394" s="458"/>
      <c r="I394" s="458"/>
      <c r="J394" s="458"/>
      <c r="K394" s="458"/>
      <c r="L394" s="458"/>
      <c r="M394" s="458"/>
      <c r="N394" s="458"/>
      <c r="O394" s="458"/>
      <c r="P394" s="458"/>
      <c r="Q394" s="458"/>
      <c r="R394" s="458"/>
      <c r="S394" s="458"/>
      <c r="T394" s="458"/>
      <c r="U394" s="458"/>
      <c r="V394" s="458"/>
      <c r="W394" s="458"/>
    </row>
    <row r="395" spans="1:23" ht="15.75" customHeight="1">
      <c r="A395" s="458"/>
      <c r="B395" s="458"/>
      <c r="C395" s="458"/>
      <c r="D395" s="458"/>
      <c r="E395" s="458"/>
      <c r="F395" s="458"/>
      <c r="G395" s="458"/>
      <c r="H395" s="458"/>
      <c r="I395" s="458"/>
      <c r="J395" s="458"/>
      <c r="K395" s="458"/>
      <c r="L395" s="458"/>
      <c r="M395" s="458"/>
      <c r="N395" s="458"/>
      <c r="O395" s="458"/>
      <c r="P395" s="458"/>
      <c r="Q395" s="458"/>
      <c r="R395" s="458"/>
      <c r="S395" s="458"/>
      <c r="T395" s="458"/>
      <c r="U395" s="458"/>
      <c r="V395" s="458"/>
      <c r="W395" s="458"/>
    </row>
    <row r="396" spans="1:23" ht="15.75" customHeight="1">
      <c r="A396" s="458"/>
      <c r="B396" s="458"/>
      <c r="C396" s="458"/>
      <c r="D396" s="458"/>
      <c r="E396" s="458"/>
      <c r="F396" s="458"/>
      <c r="G396" s="458"/>
      <c r="H396" s="458"/>
      <c r="I396" s="458"/>
      <c r="J396" s="458"/>
      <c r="K396" s="458"/>
      <c r="L396" s="458"/>
      <c r="M396" s="458"/>
      <c r="N396" s="458"/>
      <c r="O396" s="458"/>
      <c r="P396" s="458"/>
      <c r="Q396" s="458"/>
      <c r="R396" s="458"/>
      <c r="S396" s="458"/>
      <c r="T396" s="458"/>
      <c r="U396" s="458"/>
      <c r="V396" s="458"/>
      <c r="W396" s="458"/>
    </row>
    <row r="397" spans="1:23" ht="15.75" customHeight="1">
      <c r="A397" s="458"/>
      <c r="B397" s="458"/>
      <c r="C397" s="458"/>
      <c r="D397" s="458"/>
      <c r="E397" s="458"/>
      <c r="F397" s="458"/>
      <c r="G397" s="458"/>
      <c r="H397" s="458"/>
      <c r="I397" s="458"/>
      <c r="J397" s="458"/>
      <c r="K397" s="458"/>
      <c r="L397" s="458"/>
      <c r="M397" s="458"/>
      <c r="N397" s="458"/>
      <c r="O397" s="458"/>
      <c r="P397" s="458"/>
      <c r="Q397" s="458"/>
      <c r="R397" s="458"/>
      <c r="S397" s="458"/>
      <c r="T397" s="458"/>
      <c r="U397" s="458"/>
      <c r="V397" s="458"/>
      <c r="W397" s="458"/>
    </row>
    <row r="398" spans="1:23" ht="15.75" customHeight="1">
      <c r="A398" s="458"/>
      <c r="B398" s="458"/>
      <c r="C398" s="458"/>
      <c r="D398" s="458"/>
      <c r="E398" s="458"/>
      <c r="F398" s="458"/>
      <c r="G398" s="458"/>
      <c r="H398" s="458"/>
      <c r="I398" s="458"/>
      <c r="J398" s="458"/>
      <c r="K398" s="458"/>
      <c r="L398" s="458"/>
      <c r="M398" s="458"/>
      <c r="N398" s="458"/>
      <c r="O398" s="458"/>
      <c r="P398" s="458"/>
      <c r="Q398" s="458"/>
      <c r="R398" s="458"/>
      <c r="S398" s="458"/>
      <c r="T398" s="458"/>
      <c r="U398" s="458"/>
      <c r="V398" s="458"/>
      <c r="W398" s="458"/>
    </row>
    <row r="399" spans="1:23" ht="15.75" customHeight="1">
      <c r="A399" s="458"/>
      <c r="B399" s="458"/>
      <c r="C399" s="458"/>
      <c r="D399" s="458"/>
      <c r="E399" s="458"/>
      <c r="F399" s="458"/>
      <c r="G399" s="458"/>
      <c r="H399" s="458"/>
      <c r="I399" s="458"/>
      <c r="J399" s="458"/>
      <c r="K399" s="458"/>
      <c r="L399" s="458"/>
      <c r="M399" s="458"/>
      <c r="N399" s="458"/>
      <c r="O399" s="458"/>
      <c r="P399" s="458"/>
      <c r="Q399" s="458"/>
      <c r="R399" s="458"/>
      <c r="S399" s="458"/>
      <c r="T399" s="458"/>
      <c r="U399" s="458"/>
      <c r="V399" s="458"/>
      <c r="W399" s="458"/>
    </row>
    <row r="400" spans="1:23" ht="15.75" customHeight="1">
      <c r="A400" s="458"/>
      <c r="B400" s="458"/>
      <c r="C400" s="458"/>
      <c r="D400" s="458"/>
      <c r="E400" s="458"/>
      <c r="F400" s="458"/>
      <c r="G400" s="458"/>
      <c r="H400" s="458"/>
      <c r="I400" s="458"/>
      <c r="J400" s="458"/>
      <c r="K400" s="458"/>
      <c r="L400" s="458"/>
      <c r="M400" s="458"/>
      <c r="N400" s="458"/>
      <c r="O400" s="458"/>
      <c r="P400" s="458"/>
      <c r="Q400" s="458"/>
      <c r="R400" s="458"/>
      <c r="S400" s="458"/>
      <c r="T400" s="458"/>
      <c r="U400" s="458"/>
      <c r="V400" s="458"/>
      <c r="W400" s="458"/>
    </row>
    <row r="401" spans="1:23" ht="15.75" customHeight="1">
      <c r="A401" s="458"/>
      <c r="B401" s="458"/>
      <c r="C401" s="458"/>
      <c r="D401" s="458"/>
      <c r="E401" s="458"/>
      <c r="F401" s="458"/>
      <c r="G401" s="458"/>
      <c r="H401" s="458"/>
      <c r="I401" s="458"/>
      <c r="J401" s="458"/>
      <c r="K401" s="458"/>
      <c r="L401" s="458"/>
      <c r="M401" s="458"/>
      <c r="N401" s="458"/>
      <c r="O401" s="458"/>
      <c r="P401" s="458"/>
      <c r="Q401" s="458"/>
      <c r="R401" s="458"/>
      <c r="S401" s="458"/>
      <c r="T401" s="458"/>
      <c r="U401" s="458"/>
      <c r="V401" s="458"/>
      <c r="W401" s="458"/>
    </row>
    <row r="402" spans="1:23" ht="15.75" customHeight="1">
      <c r="A402" s="458"/>
      <c r="B402" s="458"/>
      <c r="C402" s="458"/>
      <c r="D402" s="458"/>
      <c r="E402" s="458"/>
      <c r="F402" s="458"/>
      <c r="G402" s="458"/>
      <c r="H402" s="458"/>
      <c r="I402" s="458"/>
      <c r="J402" s="458"/>
      <c r="K402" s="458"/>
      <c r="L402" s="458"/>
      <c r="M402" s="458"/>
      <c r="N402" s="458"/>
      <c r="O402" s="458"/>
      <c r="P402" s="458"/>
      <c r="Q402" s="458"/>
      <c r="R402" s="458"/>
      <c r="S402" s="458"/>
      <c r="T402" s="458"/>
      <c r="U402" s="458"/>
      <c r="V402" s="458"/>
      <c r="W402" s="458"/>
    </row>
    <row r="403" spans="1:23" ht="15.75" customHeight="1">
      <c r="A403" s="458"/>
      <c r="B403" s="458"/>
      <c r="C403" s="458"/>
      <c r="D403" s="458"/>
      <c r="E403" s="458"/>
      <c r="F403" s="458"/>
      <c r="G403" s="458"/>
      <c r="H403" s="458"/>
      <c r="I403" s="458"/>
      <c r="J403" s="458"/>
      <c r="K403" s="458"/>
      <c r="L403" s="458"/>
      <c r="M403" s="458"/>
      <c r="N403" s="458"/>
      <c r="O403" s="458"/>
      <c r="P403" s="458"/>
      <c r="Q403" s="458"/>
      <c r="R403" s="458"/>
      <c r="S403" s="458"/>
      <c r="T403" s="458"/>
      <c r="U403" s="458"/>
      <c r="V403" s="458"/>
      <c r="W403" s="458"/>
    </row>
    <row r="404" spans="1:23" ht="15.75" customHeight="1">
      <c r="A404" s="458"/>
      <c r="B404" s="458"/>
      <c r="C404" s="458"/>
      <c r="D404" s="458"/>
      <c r="E404" s="458"/>
      <c r="F404" s="458"/>
      <c r="G404" s="458"/>
      <c r="H404" s="458"/>
      <c r="I404" s="458"/>
      <c r="J404" s="458"/>
      <c r="K404" s="458"/>
      <c r="L404" s="458"/>
      <c r="M404" s="458"/>
      <c r="N404" s="458"/>
      <c r="O404" s="458"/>
      <c r="P404" s="458"/>
      <c r="Q404" s="458"/>
      <c r="R404" s="458"/>
      <c r="S404" s="458"/>
      <c r="T404" s="458"/>
      <c r="U404" s="458"/>
      <c r="V404" s="458"/>
      <c r="W404" s="458"/>
    </row>
    <row r="405" spans="1:23" ht="15.75" customHeight="1">
      <c r="A405" s="458"/>
      <c r="B405" s="458"/>
      <c r="C405" s="458"/>
      <c r="D405" s="458"/>
      <c r="E405" s="458"/>
      <c r="F405" s="458"/>
      <c r="G405" s="458"/>
      <c r="H405" s="458"/>
      <c r="I405" s="458"/>
      <c r="J405" s="458"/>
      <c r="K405" s="458"/>
      <c r="L405" s="458"/>
      <c r="M405" s="458"/>
      <c r="N405" s="458"/>
      <c r="O405" s="458"/>
      <c r="P405" s="458"/>
      <c r="Q405" s="458"/>
      <c r="R405" s="458"/>
      <c r="S405" s="458"/>
      <c r="T405" s="458"/>
      <c r="U405" s="458"/>
      <c r="V405" s="458"/>
      <c r="W405" s="458"/>
    </row>
    <row r="406" spans="1:23" ht="15.75" customHeight="1">
      <c r="A406" s="458"/>
      <c r="B406" s="458"/>
      <c r="C406" s="458"/>
      <c r="D406" s="458"/>
      <c r="E406" s="458"/>
      <c r="F406" s="458"/>
      <c r="G406" s="458"/>
      <c r="H406" s="458"/>
      <c r="I406" s="458"/>
      <c r="J406" s="458"/>
      <c r="K406" s="458"/>
      <c r="L406" s="458"/>
      <c r="M406" s="458"/>
      <c r="N406" s="458"/>
      <c r="O406" s="458"/>
      <c r="P406" s="458"/>
      <c r="Q406" s="458"/>
      <c r="R406" s="458"/>
      <c r="S406" s="458"/>
      <c r="T406" s="458"/>
      <c r="U406" s="458"/>
      <c r="V406" s="458"/>
      <c r="W406" s="458"/>
    </row>
    <row r="407" spans="1:23" ht="15.75" customHeight="1">
      <c r="A407" s="458"/>
      <c r="B407" s="458"/>
      <c r="C407" s="458"/>
      <c r="D407" s="458"/>
      <c r="E407" s="458"/>
      <c r="F407" s="458"/>
      <c r="G407" s="458"/>
      <c r="H407" s="458"/>
      <c r="I407" s="458"/>
      <c r="J407" s="458"/>
      <c r="K407" s="458"/>
      <c r="L407" s="458"/>
      <c r="M407" s="458"/>
      <c r="N407" s="458"/>
      <c r="O407" s="458"/>
      <c r="P407" s="458"/>
      <c r="Q407" s="458"/>
      <c r="R407" s="458"/>
      <c r="S407" s="458"/>
      <c r="T407" s="458"/>
      <c r="U407" s="458"/>
      <c r="V407" s="458"/>
      <c r="W407" s="458"/>
    </row>
    <row r="408" spans="1:23" ht="15.75" customHeight="1">
      <c r="A408" s="458"/>
      <c r="B408" s="458"/>
      <c r="C408" s="458"/>
      <c r="D408" s="458"/>
      <c r="E408" s="458"/>
      <c r="F408" s="458"/>
      <c r="G408" s="458"/>
      <c r="H408" s="458"/>
      <c r="I408" s="458"/>
      <c r="J408" s="458"/>
      <c r="K408" s="458"/>
      <c r="L408" s="458"/>
      <c r="M408" s="458"/>
      <c r="N408" s="458"/>
      <c r="O408" s="458"/>
      <c r="P408" s="458"/>
      <c r="Q408" s="458"/>
      <c r="R408" s="458"/>
      <c r="S408" s="458"/>
      <c r="T408" s="458"/>
      <c r="U408" s="458"/>
      <c r="V408" s="458"/>
      <c r="W408" s="458"/>
    </row>
    <row r="409" spans="1:23" ht="15.75" customHeight="1">
      <c r="A409" s="458"/>
      <c r="B409" s="458"/>
      <c r="C409" s="458"/>
      <c r="D409" s="458"/>
      <c r="E409" s="458"/>
      <c r="F409" s="458"/>
      <c r="G409" s="458"/>
      <c r="H409" s="458"/>
      <c r="I409" s="458"/>
      <c r="J409" s="458"/>
      <c r="K409" s="458"/>
      <c r="L409" s="458"/>
      <c r="M409" s="458"/>
      <c r="N409" s="458"/>
      <c r="O409" s="458"/>
      <c r="P409" s="458"/>
      <c r="Q409" s="458"/>
      <c r="R409" s="458"/>
      <c r="S409" s="458"/>
      <c r="T409" s="458"/>
      <c r="U409" s="458"/>
      <c r="V409" s="458"/>
      <c r="W409" s="458"/>
    </row>
    <row r="410" spans="1:23" ht="15.75" customHeight="1">
      <c r="A410" s="458"/>
      <c r="B410" s="458"/>
      <c r="C410" s="458"/>
      <c r="D410" s="458"/>
      <c r="E410" s="458"/>
      <c r="F410" s="458"/>
      <c r="G410" s="458"/>
      <c r="H410" s="458"/>
      <c r="I410" s="458"/>
      <c r="J410" s="458"/>
      <c r="K410" s="458"/>
      <c r="L410" s="458"/>
      <c r="M410" s="458"/>
      <c r="N410" s="458"/>
      <c r="O410" s="458"/>
      <c r="P410" s="458"/>
      <c r="Q410" s="458"/>
      <c r="R410" s="458"/>
      <c r="S410" s="458"/>
      <c r="T410" s="458"/>
      <c r="U410" s="458"/>
      <c r="V410" s="458"/>
      <c r="W410" s="458"/>
    </row>
    <row r="411" spans="1:23" ht="15.75" customHeight="1">
      <c r="A411" s="458"/>
      <c r="B411" s="458"/>
      <c r="C411" s="458"/>
      <c r="D411" s="458"/>
      <c r="E411" s="458"/>
      <c r="F411" s="458"/>
      <c r="G411" s="458"/>
      <c r="H411" s="458"/>
      <c r="I411" s="458"/>
      <c r="J411" s="458"/>
      <c r="K411" s="458"/>
      <c r="L411" s="458"/>
      <c r="M411" s="458"/>
      <c r="N411" s="458"/>
      <c r="O411" s="458"/>
      <c r="P411" s="458"/>
      <c r="Q411" s="458"/>
      <c r="R411" s="458"/>
      <c r="S411" s="458"/>
      <c r="T411" s="458"/>
      <c r="U411" s="458"/>
      <c r="V411" s="458"/>
      <c r="W411" s="458"/>
    </row>
    <row r="412" spans="1:23" ht="15.75" customHeight="1">
      <c r="A412" s="458"/>
      <c r="B412" s="458"/>
      <c r="C412" s="458"/>
      <c r="D412" s="458"/>
      <c r="E412" s="458"/>
      <c r="F412" s="458"/>
      <c r="G412" s="458"/>
      <c r="H412" s="458"/>
      <c r="I412" s="458"/>
      <c r="J412" s="458"/>
      <c r="K412" s="458"/>
      <c r="L412" s="458"/>
      <c r="M412" s="458"/>
      <c r="N412" s="458"/>
      <c r="O412" s="458"/>
      <c r="P412" s="458"/>
      <c r="Q412" s="458"/>
      <c r="R412" s="458"/>
      <c r="S412" s="458"/>
      <c r="T412" s="458"/>
      <c r="U412" s="458"/>
      <c r="V412" s="458"/>
      <c r="W412" s="458"/>
    </row>
    <row r="413" spans="1:23" ht="15.75" customHeight="1">
      <c r="A413" s="458"/>
      <c r="B413" s="458"/>
      <c r="C413" s="458"/>
      <c r="D413" s="458"/>
      <c r="E413" s="458"/>
      <c r="F413" s="458"/>
      <c r="G413" s="458"/>
      <c r="H413" s="458"/>
      <c r="I413" s="458"/>
      <c r="J413" s="458"/>
      <c r="K413" s="458"/>
      <c r="L413" s="458"/>
      <c r="M413" s="458"/>
      <c r="N413" s="458"/>
      <c r="O413" s="458"/>
      <c r="P413" s="458"/>
      <c r="Q413" s="458"/>
      <c r="R413" s="458"/>
      <c r="S413" s="458"/>
      <c r="T413" s="458"/>
      <c r="U413" s="458"/>
      <c r="V413" s="458"/>
      <c r="W413" s="458"/>
    </row>
    <row r="414" spans="1:23" ht="15.75" customHeight="1">
      <c r="A414" s="458"/>
      <c r="B414" s="458"/>
      <c r="C414" s="458"/>
      <c r="D414" s="458"/>
      <c r="E414" s="458"/>
      <c r="F414" s="458"/>
      <c r="G414" s="458"/>
      <c r="H414" s="458"/>
      <c r="I414" s="458"/>
      <c r="J414" s="458"/>
      <c r="K414" s="458"/>
      <c r="L414" s="458"/>
      <c r="M414" s="458"/>
      <c r="N414" s="458"/>
      <c r="O414" s="458"/>
      <c r="P414" s="458"/>
      <c r="Q414" s="458"/>
      <c r="R414" s="458"/>
      <c r="S414" s="458"/>
      <c r="T414" s="458"/>
      <c r="U414" s="458"/>
      <c r="V414" s="458"/>
      <c r="W414" s="458"/>
    </row>
    <row r="415" spans="1:23" ht="15.75" customHeight="1">
      <c r="A415" s="458"/>
      <c r="B415" s="458"/>
      <c r="C415" s="458"/>
      <c r="D415" s="458"/>
      <c r="E415" s="458"/>
      <c r="F415" s="458"/>
      <c r="G415" s="458"/>
      <c r="H415" s="458"/>
      <c r="I415" s="458"/>
      <c r="J415" s="458"/>
      <c r="K415" s="458"/>
      <c r="L415" s="458"/>
      <c r="M415" s="458"/>
      <c r="N415" s="458"/>
      <c r="O415" s="458"/>
      <c r="P415" s="458"/>
      <c r="Q415" s="458"/>
      <c r="R415" s="458"/>
      <c r="S415" s="458"/>
      <c r="T415" s="458"/>
      <c r="U415" s="458"/>
      <c r="V415" s="458"/>
      <c r="W415" s="458"/>
    </row>
    <row r="416" spans="1:23" ht="15.75" customHeight="1">
      <c r="A416" s="458"/>
      <c r="B416" s="458"/>
      <c r="C416" s="458"/>
      <c r="D416" s="458"/>
      <c r="E416" s="458"/>
      <c r="F416" s="458"/>
      <c r="G416" s="458"/>
      <c r="H416" s="458"/>
      <c r="I416" s="458"/>
      <c r="J416" s="458"/>
      <c r="K416" s="458"/>
      <c r="L416" s="458"/>
      <c r="M416" s="458"/>
      <c r="N416" s="458"/>
      <c r="O416" s="458"/>
      <c r="P416" s="458"/>
      <c r="Q416" s="458"/>
      <c r="R416" s="458"/>
      <c r="S416" s="458"/>
      <c r="T416" s="458"/>
      <c r="U416" s="458"/>
      <c r="V416" s="458"/>
      <c r="W416" s="458"/>
    </row>
    <row r="417" spans="1:23" ht="15.75" customHeight="1">
      <c r="A417" s="458"/>
      <c r="B417" s="458"/>
      <c r="C417" s="458"/>
      <c r="D417" s="458"/>
      <c r="E417" s="458"/>
      <c r="F417" s="458"/>
      <c r="G417" s="458"/>
      <c r="H417" s="458"/>
      <c r="I417" s="458"/>
      <c r="J417" s="458"/>
      <c r="K417" s="458"/>
      <c r="L417" s="458"/>
      <c r="M417" s="458"/>
      <c r="N417" s="458"/>
      <c r="O417" s="458"/>
      <c r="P417" s="458"/>
      <c r="Q417" s="458"/>
      <c r="R417" s="458"/>
      <c r="S417" s="458"/>
      <c r="T417" s="458"/>
      <c r="U417" s="458"/>
      <c r="V417" s="458"/>
      <c r="W417" s="458"/>
    </row>
    <row r="418" spans="1:23" ht="15.75" customHeight="1">
      <c r="A418" s="458"/>
      <c r="B418" s="458"/>
      <c r="C418" s="458"/>
      <c r="D418" s="458"/>
      <c r="E418" s="458"/>
      <c r="F418" s="458"/>
      <c r="G418" s="458"/>
      <c r="H418" s="458"/>
      <c r="I418" s="458"/>
      <c r="J418" s="458"/>
      <c r="K418" s="458"/>
      <c r="L418" s="458"/>
      <c r="M418" s="458"/>
      <c r="N418" s="458"/>
      <c r="O418" s="458"/>
      <c r="P418" s="458"/>
      <c r="Q418" s="458"/>
      <c r="R418" s="458"/>
      <c r="S418" s="458"/>
      <c r="T418" s="458"/>
      <c r="U418" s="458"/>
      <c r="V418" s="458"/>
      <c r="W418" s="458"/>
    </row>
    <row r="419" spans="1:23" ht="15.75" customHeight="1">
      <c r="A419" s="458"/>
      <c r="B419" s="458"/>
      <c r="C419" s="458"/>
      <c r="D419" s="458"/>
      <c r="E419" s="458"/>
      <c r="F419" s="458"/>
      <c r="G419" s="458"/>
      <c r="H419" s="458"/>
      <c r="I419" s="458"/>
      <c r="J419" s="458"/>
      <c r="K419" s="458"/>
      <c r="L419" s="458"/>
      <c r="M419" s="458"/>
      <c r="N419" s="458"/>
      <c r="O419" s="458"/>
      <c r="P419" s="458"/>
      <c r="Q419" s="458"/>
      <c r="R419" s="458"/>
      <c r="S419" s="458"/>
      <c r="T419" s="458"/>
      <c r="U419" s="458"/>
      <c r="V419" s="458"/>
      <c r="W419" s="458"/>
    </row>
    <row r="420" spans="1:23" ht="15.75" customHeight="1">
      <c r="A420" s="458"/>
      <c r="B420" s="458"/>
      <c r="C420" s="458"/>
      <c r="D420" s="458"/>
      <c r="E420" s="458"/>
      <c r="F420" s="458"/>
      <c r="G420" s="458"/>
      <c r="H420" s="458"/>
      <c r="I420" s="458"/>
      <c r="J420" s="458"/>
      <c r="K420" s="458"/>
      <c r="L420" s="458"/>
      <c r="M420" s="458"/>
      <c r="N420" s="458"/>
      <c r="O420" s="458"/>
      <c r="P420" s="458"/>
      <c r="Q420" s="458"/>
      <c r="R420" s="458"/>
      <c r="S420" s="458"/>
      <c r="T420" s="458"/>
      <c r="U420" s="458"/>
      <c r="V420" s="458"/>
      <c r="W420" s="458"/>
    </row>
    <row r="421" spans="1:23" ht="15.75" customHeight="1">
      <c r="A421" s="458"/>
      <c r="B421" s="458"/>
      <c r="C421" s="458"/>
      <c r="D421" s="458"/>
      <c r="E421" s="458"/>
      <c r="F421" s="458"/>
      <c r="G421" s="458"/>
      <c r="H421" s="458"/>
      <c r="I421" s="458"/>
      <c r="J421" s="458"/>
      <c r="K421" s="458"/>
      <c r="L421" s="458"/>
      <c r="M421" s="458"/>
      <c r="N421" s="458"/>
      <c r="O421" s="458"/>
      <c r="P421" s="458"/>
      <c r="Q421" s="458"/>
      <c r="R421" s="458"/>
      <c r="S421" s="458"/>
      <c r="T421" s="458"/>
      <c r="U421" s="458"/>
      <c r="V421" s="458"/>
      <c r="W421" s="458"/>
    </row>
    <row r="422" spans="1:23" ht="15.75" customHeight="1">
      <c r="A422" s="458"/>
      <c r="B422" s="458"/>
      <c r="C422" s="458"/>
      <c r="D422" s="458"/>
      <c r="E422" s="458"/>
      <c r="F422" s="458"/>
      <c r="G422" s="458"/>
      <c r="H422" s="458"/>
      <c r="I422" s="458"/>
      <c r="J422" s="458"/>
      <c r="K422" s="458"/>
      <c r="L422" s="458"/>
      <c r="M422" s="458"/>
      <c r="N422" s="458"/>
      <c r="O422" s="458"/>
      <c r="P422" s="458"/>
      <c r="Q422" s="458"/>
      <c r="R422" s="458"/>
      <c r="S422" s="458"/>
      <c r="T422" s="458"/>
      <c r="U422" s="458"/>
      <c r="V422" s="458"/>
      <c r="W422" s="458"/>
    </row>
    <row r="423" spans="1:23" ht="15.75" customHeight="1">
      <c r="A423" s="458"/>
      <c r="B423" s="458"/>
      <c r="C423" s="458"/>
      <c r="D423" s="458"/>
      <c r="E423" s="458"/>
      <c r="F423" s="458"/>
      <c r="G423" s="458"/>
      <c r="H423" s="458"/>
      <c r="I423" s="458"/>
      <c r="J423" s="458"/>
      <c r="K423" s="458"/>
      <c r="L423" s="458"/>
      <c r="M423" s="458"/>
      <c r="N423" s="458"/>
      <c r="O423" s="458"/>
      <c r="P423" s="458"/>
      <c r="Q423" s="458"/>
      <c r="R423" s="458"/>
      <c r="S423" s="458"/>
      <c r="T423" s="458"/>
      <c r="U423" s="458"/>
      <c r="V423" s="458"/>
      <c r="W423" s="458"/>
    </row>
    <row r="424" spans="1:23" ht="15.75" customHeight="1">
      <c r="A424" s="458"/>
      <c r="B424" s="458"/>
      <c r="C424" s="458"/>
      <c r="D424" s="458"/>
      <c r="E424" s="458"/>
      <c r="F424" s="458"/>
      <c r="G424" s="458"/>
      <c r="H424" s="458"/>
      <c r="I424" s="458"/>
      <c r="J424" s="458"/>
      <c r="K424" s="458"/>
      <c r="L424" s="458"/>
      <c r="M424" s="458"/>
      <c r="N424" s="458"/>
      <c r="O424" s="458"/>
      <c r="P424" s="458"/>
      <c r="Q424" s="458"/>
      <c r="R424" s="458"/>
      <c r="S424" s="458"/>
      <c r="T424" s="458"/>
      <c r="U424" s="458"/>
      <c r="V424" s="458"/>
      <c r="W424" s="458"/>
    </row>
    <row r="425" spans="1:23" ht="15.75" customHeight="1">
      <c r="A425" s="458"/>
      <c r="B425" s="458"/>
      <c r="C425" s="458"/>
      <c r="D425" s="458"/>
      <c r="E425" s="458"/>
      <c r="F425" s="458"/>
      <c r="G425" s="458"/>
      <c r="H425" s="458"/>
      <c r="I425" s="458"/>
      <c r="J425" s="458"/>
      <c r="K425" s="458"/>
      <c r="L425" s="458"/>
      <c r="M425" s="458"/>
      <c r="N425" s="458"/>
      <c r="O425" s="458"/>
      <c r="P425" s="458"/>
      <c r="Q425" s="458"/>
      <c r="R425" s="458"/>
      <c r="S425" s="458"/>
      <c r="T425" s="458"/>
      <c r="U425" s="458"/>
      <c r="V425" s="458"/>
      <c r="W425" s="458"/>
    </row>
    <row r="426" spans="1:23" ht="15.75" customHeight="1">
      <c r="A426" s="458"/>
      <c r="B426" s="458"/>
      <c r="C426" s="458"/>
      <c r="D426" s="458"/>
      <c r="E426" s="458"/>
      <c r="F426" s="458"/>
      <c r="G426" s="458"/>
      <c r="H426" s="458"/>
      <c r="I426" s="458"/>
      <c r="J426" s="458"/>
      <c r="K426" s="458"/>
      <c r="L426" s="458"/>
      <c r="M426" s="458"/>
      <c r="N426" s="458"/>
      <c r="O426" s="458"/>
      <c r="P426" s="458"/>
      <c r="Q426" s="458"/>
      <c r="R426" s="458"/>
      <c r="S426" s="458"/>
      <c r="T426" s="458"/>
      <c r="U426" s="458"/>
      <c r="V426" s="458"/>
      <c r="W426" s="458"/>
    </row>
    <row r="427" spans="1:23" ht="15.75" customHeight="1">
      <c r="A427" s="458"/>
      <c r="B427" s="458"/>
      <c r="C427" s="458"/>
      <c r="D427" s="458"/>
      <c r="E427" s="458"/>
      <c r="F427" s="458"/>
      <c r="G427" s="458"/>
      <c r="H427" s="458"/>
      <c r="I427" s="458"/>
      <c r="J427" s="458"/>
      <c r="K427" s="458"/>
      <c r="L427" s="458"/>
      <c r="M427" s="458"/>
      <c r="N427" s="458"/>
      <c r="O427" s="458"/>
      <c r="P427" s="458"/>
      <c r="Q427" s="458"/>
      <c r="R427" s="458"/>
      <c r="S427" s="458"/>
      <c r="T427" s="458"/>
      <c r="U427" s="458"/>
      <c r="V427" s="458"/>
      <c r="W427" s="458"/>
    </row>
    <row r="428" spans="1:23" ht="15.75" customHeight="1">
      <c r="A428" s="458"/>
      <c r="B428" s="458"/>
      <c r="C428" s="458"/>
      <c r="D428" s="458"/>
      <c r="E428" s="458"/>
      <c r="F428" s="458"/>
      <c r="G428" s="458"/>
      <c r="H428" s="458"/>
      <c r="I428" s="458"/>
      <c r="J428" s="458"/>
      <c r="K428" s="458"/>
      <c r="L428" s="458"/>
      <c r="M428" s="458"/>
      <c r="N428" s="458"/>
      <c r="O428" s="458"/>
      <c r="P428" s="458"/>
      <c r="Q428" s="458"/>
      <c r="R428" s="458"/>
      <c r="S428" s="458"/>
      <c r="T428" s="458"/>
      <c r="U428" s="458"/>
      <c r="V428" s="458"/>
      <c r="W428" s="458"/>
    </row>
    <row r="429" spans="1:23" ht="15.75" customHeight="1">
      <c r="A429" s="458"/>
      <c r="B429" s="458"/>
      <c r="C429" s="458"/>
      <c r="D429" s="458"/>
      <c r="E429" s="458"/>
      <c r="F429" s="458"/>
      <c r="G429" s="458"/>
      <c r="H429" s="458"/>
      <c r="I429" s="458"/>
      <c r="J429" s="458"/>
      <c r="K429" s="458"/>
      <c r="L429" s="458"/>
      <c r="M429" s="458"/>
      <c r="N429" s="458"/>
      <c r="O429" s="458"/>
      <c r="P429" s="458"/>
      <c r="Q429" s="458"/>
      <c r="R429" s="458"/>
      <c r="S429" s="458"/>
      <c r="T429" s="458"/>
      <c r="U429" s="458"/>
      <c r="V429" s="458"/>
      <c r="W429" s="458"/>
    </row>
    <row r="430" spans="1:23" ht="15.75" customHeight="1">
      <c r="A430" s="458"/>
      <c r="B430" s="458"/>
      <c r="C430" s="458"/>
      <c r="D430" s="458"/>
      <c r="E430" s="458"/>
      <c r="F430" s="458"/>
      <c r="G430" s="458"/>
      <c r="H430" s="458"/>
      <c r="I430" s="458"/>
      <c r="J430" s="458"/>
      <c r="K430" s="458"/>
      <c r="L430" s="458"/>
      <c r="M430" s="458"/>
      <c r="N430" s="458"/>
      <c r="O430" s="458"/>
      <c r="P430" s="458"/>
      <c r="Q430" s="458"/>
      <c r="R430" s="458"/>
      <c r="S430" s="458"/>
      <c r="T430" s="458"/>
      <c r="U430" s="458"/>
      <c r="V430" s="458"/>
      <c r="W430" s="458"/>
    </row>
    <row r="431" spans="1:23" ht="15.75" customHeight="1">
      <c r="A431" s="458"/>
      <c r="B431" s="458"/>
      <c r="C431" s="458"/>
      <c r="D431" s="458"/>
      <c r="E431" s="458"/>
      <c r="F431" s="458"/>
      <c r="G431" s="458"/>
      <c r="H431" s="458"/>
      <c r="I431" s="458"/>
      <c r="J431" s="458"/>
      <c r="K431" s="458"/>
      <c r="L431" s="458"/>
      <c r="M431" s="458"/>
      <c r="N431" s="458"/>
      <c r="O431" s="458"/>
      <c r="P431" s="458"/>
      <c r="Q431" s="458"/>
      <c r="R431" s="458"/>
      <c r="S431" s="458"/>
      <c r="T431" s="458"/>
      <c r="U431" s="458"/>
      <c r="V431" s="458"/>
      <c r="W431" s="458"/>
    </row>
    <row r="432" spans="1:23" ht="15.75" customHeight="1">
      <c r="A432" s="458"/>
      <c r="B432" s="458"/>
      <c r="C432" s="458"/>
      <c r="D432" s="458"/>
      <c r="E432" s="458"/>
      <c r="F432" s="458"/>
      <c r="G432" s="458"/>
      <c r="H432" s="458"/>
      <c r="I432" s="458"/>
      <c r="J432" s="458"/>
      <c r="K432" s="458"/>
      <c r="L432" s="458"/>
      <c r="M432" s="458"/>
      <c r="N432" s="458"/>
      <c r="O432" s="458"/>
      <c r="P432" s="458"/>
      <c r="Q432" s="458"/>
      <c r="R432" s="458"/>
      <c r="S432" s="458"/>
      <c r="T432" s="458"/>
      <c r="U432" s="458"/>
      <c r="V432" s="458"/>
      <c r="W432" s="458"/>
    </row>
    <row r="433" spans="1:23" ht="15.75" customHeight="1">
      <c r="A433" s="458"/>
      <c r="B433" s="458"/>
      <c r="C433" s="458"/>
      <c r="D433" s="458"/>
      <c r="E433" s="458"/>
      <c r="F433" s="458"/>
      <c r="G433" s="458"/>
      <c r="H433" s="458"/>
      <c r="I433" s="458"/>
      <c r="J433" s="458"/>
      <c r="K433" s="458"/>
      <c r="L433" s="458"/>
      <c r="M433" s="458"/>
      <c r="N433" s="458"/>
      <c r="O433" s="458"/>
      <c r="P433" s="458"/>
      <c r="Q433" s="458"/>
      <c r="R433" s="458"/>
      <c r="S433" s="458"/>
      <c r="T433" s="458"/>
      <c r="U433" s="458"/>
      <c r="V433" s="458"/>
      <c r="W433" s="458"/>
    </row>
    <row r="434" spans="1:23" ht="15.75" customHeight="1">
      <c r="A434" s="458"/>
      <c r="B434" s="458"/>
      <c r="C434" s="458"/>
      <c r="D434" s="458"/>
      <c r="E434" s="458"/>
      <c r="F434" s="458"/>
      <c r="G434" s="458"/>
      <c r="H434" s="458"/>
      <c r="I434" s="458"/>
      <c r="J434" s="458"/>
      <c r="K434" s="458"/>
      <c r="L434" s="458"/>
      <c r="M434" s="458"/>
      <c r="N434" s="458"/>
      <c r="O434" s="458"/>
      <c r="P434" s="458"/>
      <c r="Q434" s="458"/>
      <c r="R434" s="458"/>
      <c r="S434" s="458"/>
      <c r="T434" s="458"/>
      <c r="U434" s="458"/>
      <c r="V434" s="458"/>
      <c r="W434" s="458"/>
    </row>
    <row r="435" spans="1:23" ht="15.75" customHeight="1">
      <c r="A435" s="458"/>
      <c r="B435" s="458"/>
      <c r="C435" s="458"/>
      <c r="D435" s="458"/>
      <c r="E435" s="458"/>
      <c r="F435" s="458"/>
      <c r="G435" s="458"/>
      <c r="H435" s="458"/>
      <c r="I435" s="458"/>
      <c r="J435" s="458"/>
      <c r="K435" s="458"/>
      <c r="L435" s="458"/>
      <c r="M435" s="458"/>
      <c r="N435" s="458"/>
      <c r="O435" s="458"/>
      <c r="P435" s="458"/>
      <c r="Q435" s="458"/>
      <c r="R435" s="458"/>
      <c r="S435" s="458"/>
      <c r="T435" s="458"/>
      <c r="U435" s="458"/>
      <c r="V435" s="458"/>
      <c r="W435" s="458"/>
    </row>
    <row r="436" spans="1:23" ht="15.75" customHeight="1">
      <c r="A436" s="458"/>
      <c r="B436" s="458"/>
      <c r="C436" s="458"/>
      <c r="D436" s="458"/>
      <c r="E436" s="458"/>
      <c r="F436" s="458"/>
      <c r="G436" s="458"/>
      <c r="H436" s="458"/>
      <c r="I436" s="458"/>
      <c r="J436" s="458"/>
      <c r="K436" s="458"/>
      <c r="L436" s="458"/>
      <c r="M436" s="458"/>
      <c r="N436" s="458"/>
      <c r="O436" s="458"/>
      <c r="P436" s="458"/>
      <c r="Q436" s="458"/>
      <c r="R436" s="458"/>
      <c r="S436" s="458"/>
      <c r="T436" s="458"/>
      <c r="U436" s="458"/>
      <c r="V436" s="458"/>
      <c r="W436" s="458"/>
    </row>
    <row r="437" spans="1:23" ht="15.75" customHeight="1">
      <c r="A437" s="458"/>
      <c r="B437" s="458"/>
      <c r="C437" s="458"/>
      <c r="D437" s="458"/>
      <c r="E437" s="458"/>
      <c r="F437" s="458"/>
      <c r="G437" s="458"/>
      <c r="H437" s="458"/>
      <c r="I437" s="458"/>
      <c r="J437" s="458"/>
      <c r="K437" s="458"/>
      <c r="L437" s="458"/>
      <c r="M437" s="458"/>
      <c r="N437" s="458"/>
      <c r="O437" s="458"/>
      <c r="P437" s="458"/>
      <c r="Q437" s="458"/>
      <c r="R437" s="458"/>
      <c r="S437" s="458"/>
      <c r="T437" s="458"/>
      <c r="U437" s="458"/>
      <c r="V437" s="458"/>
      <c r="W437" s="458"/>
    </row>
    <row r="438" spans="1:23" ht="15.75" customHeight="1">
      <c r="A438" s="458"/>
      <c r="B438" s="458"/>
      <c r="C438" s="458"/>
      <c r="D438" s="458"/>
      <c r="E438" s="458"/>
      <c r="F438" s="458"/>
      <c r="G438" s="458"/>
      <c r="H438" s="458"/>
      <c r="I438" s="458"/>
      <c r="J438" s="458"/>
      <c r="K438" s="458"/>
      <c r="L438" s="458"/>
      <c r="M438" s="458"/>
      <c r="N438" s="458"/>
      <c r="O438" s="458"/>
      <c r="P438" s="458"/>
      <c r="Q438" s="458"/>
      <c r="R438" s="458"/>
      <c r="S438" s="458"/>
      <c r="T438" s="458"/>
      <c r="U438" s="458"/>
      <c r="V438" s="458"/>
      <c r="W438" s="458"/>
    </row>
    <row r="439" spans="1:23" ht="15.75" customHeight="1">
      <c r="A439" s="458"/>
      <c r="B439" s="458"/>
      <c r="C439" s="458"/>
      <c r="D439" s="458"/>
      <c r="E439" s="458"/>
      <c r="F439" s="458"/>
      <c r="G439" s="458"/>
      <c r="H439" s="458"/>
      <c r="I439" s="458"/>
      <c r="J439" s="458"/>
      <c r="K439" s="458"/>
      <c r="L439" s="458"/>
      <c r="M439" s="458"/>
      <c r="N439" s="458"/>
      <c r="O439" s="458"/>
      <c r="P439" s="458"/>
      <c r="Q439" s="458"/>
      <c r="R439" s="458"/>
      <c r="S439" s="458"/>
      <c r="T439" s="458"/>
      <c r="U439" s="458"/>
      <c r="V439" s="458"/>
      <c r="W439" s="458"/>
    </row>
    <row r="440" spans="1:23" ht="15.75" customHeight="1">
      <c r="A440" s="458"/>
      <c r="B440" s="458"/>
      <c r="C440" s="458"/>
      <c r="D440" s="458"/>
      <c r="E440" s="458"/>
      <c r="F440" s="458"/>
      <c r="G440" s="458"/>
      <c r="H440" s="458"/>
      <c r="I440" s="458"/>
      <c r="J440" s="458"/>
      <c r="K440" s="458"/>
      <c r="L440" s="458"/>
      <c r="M440" s="458"/>
      <c r="N440" s="458"/>
      <c r="O440" s="458"/>
      <c r="P440" s="458"/>
      <c r="Q440" s="458"/>
      <c r="R440" s="458"/>
      <c r="S440" s="458"/>
      <c r="T440" s="458"/>
      <c r="U440" s="458"/>
      <c r="V440" s="458"/>
      <c r="W440" s="458"/>
    </row>
    <row r="441" spans="1:23" ht="15.75" customHeight="1">
      <c r="A441" s="458"/>
      <c r="B441" s="458"/>
      <c r="C441" s="458"/>
      <c r="D441" s="458"/>
      <c r="E441" s="458"/>
      <c r="F441" s="458"/>
      <c r="G441" s="458"/>
      <c r="H441" s="458"/>
      <c r="I441" s="458"/>
      <c r="J441" s="458"/>
      <c r="K441" s="458"/>
      <c r="L441" s="458"/>
      <c r="M441" s="458"/>
      <c r="N441" s="458"/>
      <c r="O441" s="458"/>
      <c r="P441" s="458"/>
      <c r="Q441" s="458"/>
      <c r="R441" s="458"/>
      <c r="S441" s="458"/>
      <c r="T441" s="458"/>
      <c r="U441" s="458"/>
      <c r="V441" s="458"/>
      <c r="W441" s="458"/>
    </row>
    <row r="442" spans="1:23" ht="15.75" customHeight="1">
      <c r="A442" s="458"/>
      <c r="B442" s="458"/>
      <c r="C442" s="458"/>
      <c r="D442" s="458"/>
      <c r="E442" s="458"/>
      <c r="F442" s="458"/>
      <c r="G442" s="458"/>
      <c r="H442" s="458"/>
      <c r="I442" s="458"/>
      <c r="J442" s="458"/>
      <c r="K442" s="458"/>
      <c r="L442" s="458"/>
      <c r="M442" s="458"/>
      <c r="N442" s="458"/>
      <c r="O442" s="458"/>
      <c r="P442" s="458"/>
      <c r="Q442" s="458"/>
      <c r="R442" s="458"/>
      <c r="S442" s="458"/>
      <c r="T442" s="458"/>
      <c r="U442" s="458"/>
      <c r="V442" s="458"/>
      <c r="W442" s="458"/>
    </row>
    <row r="443" spans="1:23" ht="15.75" customHeight="1">
      <c r="A443" s="458"/>
      <c r="B443" s="458"/>
      <c r="C443" s="458"/>
      <c r="D443" s="458"/>
      <c r="E443" s="458"/>
      <c r="F443" s="458"/>
      <c r="G443" s="458"/>
      <c r="H443" s="458"/>
      <c r="I443" s="458"/>
      <c r="J443" s="458"/>
      <c r="K443" s="458"/>
      <c r="L443" s="458"/>
      <c r="M443" s="458"/>
      <c r="N443" s="458"/>
      <c r="O443" s="458"/>
      <c r="P443" s="458"/>
      <c r="Q443" s="458"/>
      <c r="R443" s="458"/>
      <c r="S443" s="458"/>
      <c r="T443" s="458"/>
      <c r="U443" s="458"/>
      <c r="V443" s="458"/>
      <c r="W443" s="458"/>
    </row>
    <row r="444" spans="1:23" ht="15.75" customHeight="1">
      <c r="A444" s="458"/>
      <c r="B444" s="458"/>
      <c r="C444" s="458"/>
      <c r="D444" s="458"/>
      <c r="E444" s="458"/>
      <c r="F444" s="458"/>
      <c r="G444" s="458"/>
      <c r="H444" s="458"/>
      <c r="I444" s="458"/>
      <c r="J444" s="458"/>
      <c r="K444" s="458"/>
      <c r="L444" s="458"/>
      <c r="M444" s="458"/>
      <c r="N444" s="458"/>
      <c r="O444" s="458"/>
      <c r="P444" s="458"/>
      <c r="Q444" s="458"/>
      <c r="R444" s="458"/>
      <c r="S444" s="458"/>
      <c r="T444" s="458"/>
      <c r="U444" s="458"/>
      <c r="V444" s="458"/>
      <c r="W444" s="458"/>
    </row>
    <row r="445" spans="1:23" ht="15.75" customHeight="1">
      <c r="A445" s="458"/>
      <c r="B445" s="458"/>
      <c r="C445" s="458"/>
      <c r="D445" s="458"/>
      <c r="E445" s="458"/>
      <c r="F445" s="458"/>
      <c r="G445" s="458"/>
      <c r="H445" s="458"/>
      <c r="I445" s="458"/>
      <c r="J445" s="458"/>
      <c r="K445" s="458"/>
      <c r="L445" s="458"/>
      <c r="M445" s="458"/>
      <c r="N445" s="458"/>
      <c r="O445" s="458"/>
      <c r="P445" s="458"/>
      <c r="Q445" s="458"/>
      <c r="R445" s="458"/>
      <c r="S445" s="458"/>
      <c r="T445" s="458"/>
      <c r="U445" s="458"/>
      <c r="V445" s="458"/>
      <c r="W445" s="458"/>
    </row>
    <row r="446" spans="1:23" ht="15.75" customHeight="1">
      <c r="A446" s="458"/>
      <c r="B446" s="458"/>
      <c r="C446" s="458"/>
      <c r="D446" s="458"/>
      <c r="E446" s="458"/>
      <c r="F446" s="458"/>
      <c r="G446" s="458"/>
      <c r="H446" s="458"/>
      <c r="I446" s="458"/>
      <c r="J446" s="458"/>
      <c r="K446" s="458"/>
      <c r="L446" s="458"/>
      <c r="M446" s="458"/>
      <c r="N446" s="458"/>
      <c r="O446" s="458"/>
      <c r="P446" s="458"/>
      <c r="Q446" s="458"/>
      <c r="R446" s="458"/>
      <c r="S446" s="458"/>
      <c r="T446" s="458"/>
      <c r="U446" s="458"/>
      <c r="V446" s="458"/>
      <c r="W446" s="458"/>
    </row>
    <row r="447" spans="1:23" ht="15.75" customHeight="1">
      <c r="A447" s="458"/>
      <c r="B447" s="458"/>
      <c r="C447" s="458"/>
      <c r="D447" s="458"/>
      <c r="E447" s="458"/>
      <c r="F447" s="458"/>
      <c r="G447" s="458"/>
      <c r="H447" s="458"/>
      <c r="I447" s="458"/>
      <c r="J447" s="458"/>
      <c r="K447" s="458"/>
      <c r="L447" s="458"/>
      <c r="M447" s="458"/>
      <c r="N447" s="458"/>
      <c r="O447" s="458"/>
      <c r="P447" s="458"/>
      <c r="Q447" s="458"/>
      <c r="R447" s="458"/>
      <c r="S447" s="458"/>
      <c r="T447" s="458"/>
      <c r="U447" s="458"/>
      <c r="V447" s="458"/>
      <c r="W447" s="458"/>
    </row>
    <row r="448" spans="1:23" ht="15.75" customHeight="1">
      <c r="A448" s="458"/>
      <c r="B448" s="458"/>
      <c r="C448" s="458"/>
      <c r="D448" s="458"/>
      <c r="E448" s="458"/>
      <c r="F448" s="458"/>
      <c r="G448" s="458"/>
      <c r="H448" s="458"/>
      <c r="I448" s="458"/>
      <c r="J448" s="458"/>
      <c r="K448" s="458"/>
      <c r="L448" s="458"/>
      <c r="M448" s="458"/>
      <c r="N448" s="458"/>
      <c r="O448" s="458"/>
      <c r="P448" s="458"/>
      <c r="Q448" s="458"/>
      <c r="R448" s="458"/>
      <c r="S448" s="458"/>
      <c r="T448" s="458"/>
      <c r="U448" s="458"/>
      <c r="V448" s="458"/>
      <c r="W448" s="458"/>
    </row>
    <row r="449" spans="1:23" ht="15.75" customHeight="1">
      <c r="A449" s="458"/>
      <c r="B449" s="458"/>
      <c r="C449" s="458"/>
      <c r="D449" s="458"/>
      <c r="E449" s="458"/>
      <c r="F449" s="458"/>
      <c r="G449" s="458"/>
      <c r="H449" s="458"/>
      <c r="I449" s="458"/>
      <c r="J449" s="458"/>
      <c r="K449" s="458"/>
      <c r="L449" s="458"/>
      <c r="M449" s="458"/>
      <c r="N449" s="458"/>
      <c r="O449" s="458"/>
      <c r="P449" s="458"/>
      <c r="Q449" s="458"/>
      <c r="R449" s="458"/>
      <c r="S449" s="458"/>
      <c r="T449" s="458"/>
      <c r="U449" s="458"/>
      <c r="V449" s="458"/>
      <c r="W449" s="458"/>
    </row>
    <row r="450" spans="1:23" ht="15.75" customHeight="1">
      <c r="A450" s="458"/>
      <c r="B450" s="458"/>
      <c r="C450" s="458"/>
      <c r="D450" s="458"/>
      <c r="E450" s="458"/>
      <c r="F450" s="458"/>
      <c r="G450" s="458"/>
      <c r="H450" s="458"/>
      <c r="I450" s="458"/>
      <c r="J450" s="458"/>
      <c r="K450" s="458"/>
      <c r="L450" s="458"/>
      <c r="M450" s="458"/>
      <c r="N450" s="458"/>
      <c r="O450" s="458"/>
      <c r="P450" s="458"/>
      <c r="Q450" s="458"/>
      <c r="R450" s="458"/>
      <c r="S450" s="458"/>
      <c r="T450" s="458"/>
      <c r="U450" s="458"/>
      <c r="V450" s="458"/>
      <c r="W450" s="458"/>
    </row>
    <row r="451" spans="1:23" ht="15.75" customHeight="1">
      <c r="A451" s="458"/>
      <c r="B451" s="458"/>
      <c r="C451" s="458"/>
      <c r="D451" s="458"/>
      <c r="E451" s="458"/>
      <c r="F451" s="458"/>
      <c r="G451" s="458"/>
      <c r="H451" s="458"/>
      <c r="I451" s="458"/>
      <c r="J451" s="458"/>
      <c r="K451" s="458"/>
      <c r="L451" s="458"/>
      <c r="M451" s="458"/>
      <c r="N451" s="458"/>
      <c r="O451" s="458"/>
      <c r="P451" s="458"/>
      <c r="Q451" s="458"/>
      <c r="R451" s="458"/>
      <c r="S451" s="458"/>
      <c r="T451" s="458"/>
      <c r="U451" s="458"/>
      <c r="V451" s="458"/>
      <c r="W451" s="458"/>
    </row>
    <row r="452" spans="1:23" ht="15.75" customHeight="1">
      <c r="A452" s="458"/>
      <c r="B452" s="458"/>
      <c r="C452" s="458"/>
      <c r="D452" s="458"/>
      <c r="E452" s="458"/>
      <c r="F452" s="458"/>
      <c r="G452" s="458"/>
      <c r="H452" s="458"/>
      <c r="I452" s="458"/>
      <c r="J452" s="458"/>
      <c r="K452" s="458"/>
      <c r="L452" s="458"/>
      <c r="M452" s="458"/>
      <c r="N452" s="458"/>
      <c r="O452" s="458"/>
      <c r="P452" s="458"/>
      <c r="Q452" s="458"/>
      <c r="R452" s="458"/>
      <c r="S452" s="458"/>
      <c r="T452" s="458"/>
      <c r="U452" s="458"/>
      <c r="V452" s="458"/>
      <c r="W452" s="458"/>
    </row>
    <row r="453" spans="1:23" ht="15.75" customHeight="1">
      <c r="A453" s="458"/>
      <c r="B453" s="458"/>
      <c r="C453" s="458"/>
      <c r="D453" s="458"/>
      <c r="E453" s="458"/>
      <c r="F453" s="458"/>
      <c r="G453" s="458"/>
      <c r="H453" s="458"/>
      <c r="I453" s="458"/>
      <c r="J453" s="458"/>
      <c r="K453" s="458"/>
      <c r="L453" s="458"/>
      <c r="M453" s="458"/>
      <c r="N453" s="458"/>
      <c r="O453" s="458"/>
      <c r="P453" s="458"/>
      <c r="Q453" s="458"/>
      <c r="R453" s="458"/>
      <c r="S453" s="458"/>
      <c r="T453" s="458"/>
      <c r="U453" s="458"/>
      <c r="V453" s="458"/>
      <c r="W453" s="458"/>
    </row>
    <row r="454" spans="1:23" ht="15.75" customHeight="1">
      <c r="A454" s="458"/>
      <c r="B454" s="458"/>
      <c r="C454" s="458"/>
      <c r="D454" s="458"/>
      <c r="E454" s="458"/>
      <c r="F454" s="458"/>
      <c r="G454" s="458"/>
      <c r="H454" s="458"/>
      <c r="I454" s="458"/>
      <c r="J454" s="458"/>
      <c r="K454" s="458"/>
      <c r="L454" s="458"/>
      <c r="M454" s="458"/>
      <c r="N454" s="458"/>
      <c r="O454" s="458"/>
      <c r="P454" s="458"/>
      <c r="Q454" s="458"/>
      <c r="R454" s="458"/>
      <c r="S454" s="458"/>
      <c r="T454" s="458"/>
      <c r="U454" s="458"/>
      <c r="V454" s="458"/>
      <c r="W454" s="458"/>
    </row>
    <row r="455" spans="1:23" ht="15.75" customHeight="1">
      <c r="A455" s="458"/>
      <c r="B455" s="458"/>
      <c r="C455" s="458"/>
      <c r="D455" s="458"/>
      <c r="E455" s="458"/>
      <c r="F455" s="458"/>
      <c r="G455" s="458"/>
      <c r="H455" s="458"/>
      <c r="I455" s="458"/>
      <c r="J455" s="458"/>
      <c r="K455" s="458"/>
      <c r="L455" s="458"/>
      <c r="M455" s="458"/>
      <c r="N455" s="458"/>
      <c r="O455" s="458"/>
      <c r="P455" s="458"/>
      <c r="Q455" s="458"/>
      <c r="R455" s="458"/>
      <c r="S455" s="458"/>
      <c r="T455" s="458"/>
      <c r="U455" s="458"/>
      <c r="V455" s="458"/>
      <c r="W455" s="458"/>
    </row>
    <row r="456" spans="1:23" ht="15.75" customHeight="1">
      <c r="A456" s="458"/>
      <c r="B456" s="458"/>
      <c r="C456" s="458"/>
      <c r="D456" s="458"/>
      <c r="E456" s="458"/>
      <c r="F456" s="458"/>
      <c r="G456" s="458"/>
      <c r="H456" s="458"/>
      <c r="I456" s="458"/>
      <c r="J456" s="458"/>
      <c r="K456" s="458"/>
      <c r="L456" s="458"/>
      <c r="M456" s="458"/>
      <c r="N456" s="458"/>
      <c r="O456" s="458"/>
      <c r="P456" s="458"/>
      <c r="Q456" s="458"/>
      <c r="R456" s="458"/>
      <c r="S456" s="458"/>
      <c r="T456" s="458"/>
      <c r="U456" s="458"/>
      <c r="V456" s="458"/>
      <c r="W456" s="458"/>
    </row>
    <row r="457" spans="1:23" ht="15.75" customHeight="1">
      <c r="A457" s="458"/>
      <c r="B457" s="458"/>
      <c r="C457" s="458"/>
      <c r="D457" s="458"/>
      <c r="E457" s="458"/>
      <c r="F457" s="458"/>
      <c r="G457" s="458"/>
      <c r="H457" s="458"/>
      <c r="I457" s="458"/>
      <c r="J457" s="458"/>
      <c r="K457" s="458"/>
      <c r="L457" s="458"/>
      <c r="M457" s="458"/>
      <c r="N457" s="458"/>
      <c r="O457" s="458"/>
      <c r="P457" s="458"/>
      <c r="Q457" s="458"/>
      <c r="R457" s="458"/>
      <c r="S457" s="458"/>
      <c r="T457" s="458"/>
      <c r="U457" s="458"/>
      <c r="V457" s="458"/>
      <c r="W457" s="458"/>
    </row>
    <row r="458" spans="1:23" ht="15.75" customHeight="1">
      <c r="A458" s="458"/>
      <c r="B458" s="458"/>
      <c r="C458" s="458"/>
      <c r="D458" s="458"/>
      <c r="E458" s="458"/>
      <c r="F458" s="458"/>
      <c r="G458" s="458"/>
      <c r="H458" s="458"/>
      <c r="I458" s="458"/>
      <c r="J458" s="458"/>
      <c r="K458" s="458"/>
      <c r="L458" s="458"/>
      <c r="M458" s="458"/>
      <c r="N458" s="458"/>
      <c r="O458" s="458"/>
      <c r="P458" s="458"/>
      <c r="Q458" s="458"/>
      <c r="R458" s="458"/>
      <c r="S458" s="458"/>
      <c r="T458" s="458"/>
      <c r="U458" s="458"/>
      <c r="V458" s="458"/>
      <c r="W458" s="458"/>
    </row>
    <row r="459" spans="1:23" ht="15.75" customHeight="1">
      <c r="A459" s="458"/>
      <c r="B459" s="458"/>
      <c r="C459" s="458"/>
      <c r="D459" s="458"/>
      <c r="E459" s="458"/>
      <c r="F459" s="458"/>
      <c r="G459" s="458"/>
      <c r="H459" s="458"/>
      <c r="I459" s="458"/>
      <c r="J459" s="458"/>
      <c r="K459" s="458"/>
      <c r="L459" s="458"/>
      <c r="M459" s="458"/>
      <c r="N459" s="458"/>
      <c r="O459" s="458"/>
      <c r="P459" s="458"/>
      <c r="Q459" s="458"/>
      <c r="R459" s="458"/>
      <c r="S459" s="458"/>
      <c r="T459" s="458"/>
      <c r="U459" s="458"/>
      <c r="V459" s="458"/>
      <c r="W459" s="458"/>
    </row>
    <row r="460" spans="1:23" ht="15.75" customHeight="1">
      <c r="A460" s="458"/>
      <c r="B460" s="458"/>
      <c r="C460" s="458"/>
      <c r="D460" s="458"/>
      <c r="E460" s="458"/>
      <c r="F460" s="458"/>
      <c r="G460" s="458"/>
      <c r="H460" s="458"/>
      <c r="I460" s="458"/>
      <c r="J460" s="458"/>
      <c r="K460" s="458"/>
      <c r="L460" s="458"/>
      <c r="M460" s="458"/>
      <c r="N460" s="458"/>
      <c r="O460" s="458"/>
      <c r="P460" s="458"/>
      <c r="Q460" s="458"/>
      <c r="R460" s="458"/>
      <c r="S460" s="458"/>
      <c r="T460" s="458"/>
      <c r="U460" s="458"/>
      <c r="V460" s="458"/>
      <c r="W460" s="458"/>
    </row>
    <row r="461" spans="1:23" ht="15.75" customHeight="1">
      <c r="A461" s="458"/>
      <c r="B461" s="458"/>
      <c r="C461" s="458"/>
      <c r="D461" s="458"/>
      <c r="E461" s="458"/>
      <c r="F461" s="458"/>
      <c r="G461" s="458"/>
      <c r="H461" s="458"/>
      <c r="I461" s="458"/>
      <c r="J461" s="458"/>
      <c r="K461" s="458"/>
      <c r="L461" s="458"/>
      <c r="M461" s="458"/>
      <c r="N461" s="458"/>
      <c r="O461" s="458"/>
      <c r="P461" s="458"/>
      <c r="Q461" s="458"/>
      <c r="R461" s="458"/>
      <c r="S461" s="458"/>
      <c r="T461" s="458"/>
      <c r="U461" s="458"/>
      <c r="V461" s="458"/>
      <c r="W461" s="458"/>
    </row>
    <row r="462" spans="1:23" ht="15.75" customHeight="1">
      <c r="A462" s="458"/>
      <c r="B462" s="458"/>
      <c r="C462" s="458"/>
      <c r="D462" s="458"/>
      <c r="E462" s="458"/>
      <c r="F462" s="458"/>
      <c r="G462" s="458"/>
      <c r="H462" s="458"/>
      <c r="I462" s="458"/>
      <c r="J462" s="458"/>
      <c r="K462" s="458"/>
      <c r="L462" s="458"/>
      <c r="M462" s="458"/>
      <c r="N462" s="458"/>
      <c r="O462" s="458"/>
      <c r="P462" s="458"/>
      <c r="Q462" s="458"/>
      <c r="R462" s="458"/>
      <c r="S462" s="458"/>
      <c r="T462" s="458"/>
      <c r="U462" s="458"/>
      <c r="V462" s="458"/>
      <c r="W462" s="458"/>
    </row>
    <row r="463" spans="1:23" ht="15.75" customHeight="1">
      <c r="A463" s="458"/>
      <c r="B463" s="458"/>
      <c r="C463" s="458"/>
      <c r="D463" s="458"/>
      <c r="E463" s="458"/>
      <c r="F463" s="458"/>
      <c r="G463" s="458"/>
      <c r="H463" s="458"/>
      <c r="I463" s="458"/>
      <c r="J463" s="458"/>
      <c r="K463" s="458"/>
      <c r="L463" s="458"/>
      <c r="M463" s="458"/>
      <c r="N463" s="458"/>
      <c r="O463" s="458"/>
      <c r="P463" s="458"/>
      <c r="Q463" s="458"/>
      <c r="R463" s="458"/>
      <c r="S463" s="458"/>
      <c r="T463" s="458"/>
      <c r="U463" s="458"/>
      <c r="V463" s="458"/>
      <c r="W463" s="458"/>
    </row>
    <row r="464" spans="1:23" ht="15.75" customHeight="1">
      <c r="A464" s="458"/>
      <c r="B464" s="458"/>
      <c r="C464" s="458"/>
      <c r="D464" s="458"/>
      <c r="E464" s="458"/>
      <c r="F464" s="458"/>
      <c r="G464" s="458"/>
      <c r="H464" s="458"/>
      <c r="I464" s="458"/>
      <c r="J464" s="458"/>
      <c r="K464" s="458"/>
      <c r="L464" s="458"/>
      <c r="M464" s="458"/>
      <c r="N464" s="458"/>
      <c r="O464" s="458"/>
      <c r="P464" s="458"/>
      <c r="Q464" s="458"/>
      <c r="R464" s="458"/>
      <c r="S464" s="458"/>
      <c r="T464" s="458"/>
      <c r="U464" s="458"/>
      <c r="V464" s="458"/>
      <c r="W464" s="458"/>
    </row>
    <row r="465" spans="1:23" ht="15.75" customHeight="1">
      <c r="A465" s="458"/>
      <c r="B465" s="458"/>
      <c r="C465" s="458"/>
      <c r="D465" s="458"/>
      <c r="E465" s="458"/>
      <c r="F465" s="458"/>
      <c r="G465" s="458"/>
      <c r="H465" s="458"/>
      <c r="I465" s="458"/>
      <c r="J465" s="458"/>
      <c r="K465" s="458"/>
      <c r="L465" s="458"/>
      <c r="M465" s="458"/>
      <c r="N465" s="458"/>
      <c r="O465" s="458"/>
      <c r="P465" s="458"/>
      <c r="Q465" s="458"/>
      <c r="R465" s="458"/>
      <c r="S465" s="458"/>
      <c r="T465" s="458"/>
      <c r="U465" s="458"/>
      <c r="V465" s="458"/>
      <c r="W465" s="458"/>
    </row>
    <row r="466" spans="1:23" ht="15.75" customHeight="1">
      <c r="A466" s="458"/>
      <c r="B466" s="458"/>
      <c r="C466" s="458"/>
      <c r="D466" s="458"/>
      <c r="E466" s="458"/>
      <c r="F466" s="458"/>
      <c r="G466" s="458"/>
      <c r="H466" s="458"/>
      <c r="I466" s="458"/>
      <c r="J466" s="458"/>
      <c r="K466" s="458"/>
      <c r="L466" s="458"/>
      <c r="M466" s="458"/>
      <c r="N466" s="458"/>
      <c r="O466" s="458"/>
      <c r="P466" s="458"/>
      <c r="Q466" s="458"/>
      <c r="R466" s="458"/>
      <c r="S466" s="458"/>
      <c r="T466" s="458"/>
      <c r="U466" s="458"/>
      <c r="V466" s="458"/>
      <c r="W466" s="458"/>
    </row>
    <row r="467" spans="1:23" ht="15.75" customHeight="1">
      <c r="A467" s="458"/>
      <c r="B467" s="458"/>
      <c r="C467" s="458"/>
      <c r="D467" s="458"/>
      <c r="E467" s="458"/>
      <c r="F467" s="458"/>
      <c r="G467" s="458"/>
      <c r="H467" s="458"/>
      <c r="I467" s="458"/>
      <c r="J467" s="458"/>
      <c r="K467" s="458"/>
      <c r="L467" s="458"/>
      <c r="M467" s="458"/>
      <c r="N467" s="458"/>
      <c r="O467" s="458"/>
      <c r="P467" s="458"/>
      <c r="Q467" s="458"/>
      <c r="R467" s="458"/>
      <c r="S467" s="458"/>
      <c r="T467" s="458"/>
      <c r="U467" s="458"/>
      <c r="V467" s="458"/>
      <c r="W467" s="458"/>
    </row>
    <row r="468" spans="1:23" ht="15.75" customHeight="1">
      <c r="A468" s="458"/>
      <c r="B468" s="458"/>
      <c r="C468" s="458"/>
      <c r="D468" s="458"/>
      <c r="E468" s="458"/>
      <c r="F468" s="458"/>
      <c r="G468" s="458"/>
      <c r="H468" s="458"/>
      <c r="I468" s="458"/>
      <c r="J468" s="458"/>
      <c r="K468" s="458"/>
      <c r="L468" s="458"/>
      <c r="M468" s="458"/>
      <c r="N468" s="458"/>
      <c r="O468" s="458"/>
      <c r="P468" s="458"/>
      <c r="Q468" s="458"/>
      <c r="R468" s="458"/>
      <c r="S468" s="458"/>
      <c r="T468" s="458"/>
      <c r="U468" s="458"/>
      <c r="V468" s="458"/>
      <c r="W468" s="458"/>
    </row>
    <row r="469" spans="1:23" ht="15.75" customHeight="1">
      <c r="A469" s="458"/>
      <c r="B469" s="458"/>
      <c r="C469" s="458"/>
      <c r="D469" s="458"/>
      <c r="E469" s="458"/>
      <c r="F469" s="458"/>
      <c r="G469" s="458"/>
      <c r="H469" s="458"/>
      <c r="I469" s="458"/>
      <c r="J469" s="458"/>
      <c r="K469" s="458"/>
      <c r="L469" s="458"/>
      <c r="M469" s="458"/>
      <c r="N469" s="458"/>
      <c r="O469" s="458"/>
      <c r="P469" s="458"/>
      <c r="Q469" s="458"/>
      <c r="R469" s="458"/>
      <c r="S469" s="458"/>
      <c r="T469" s="458"/>
      <c r="U469" s="458"/>
      <c r="V469" s="458"/>
      <c r="W469" s="458"/>
    </row>
    <row r="470" spans="1:23" ht="15.75" customHeight="1">
      <c r="A470" s="458"/>
      <c r="B470" s="458"/>
      <c r="C470" s="458"/>
      <c r="D470" s="458"/>
      <c r="E470" s="458"/>
      <c r="F470" s="458"/>
      <c r="G470" s="458"/>
      <c r="H470" s="458"/>
      <c r="I470" s="458"/>
      <c r="J470" s="458"/>
      <c r="K470" s="458"/>
      <c r="L470" s="458"/>
      <c r="M470" s="458"/>
      <c r="N470" s="458"/>
      <c r="O470" s="458"/>
      <c r="P470" s="458"/>
      <c r="Q470" s="458"/>
      <c r="R470" s="458"/>
      <c r="S470" s="458"/>
      <c r="T470" s="458"/>
      <c r="U470" s="458"/>
      <c r="V470" s="458"/>
      <c r="W470" s="458"/>
    </row>
    <row r="471" spans="1:23" ht="15.75" customHeight="1">
      <c r="A471" s="458"/>
      <c r="B471" s="458"/>
      <c r="C471" s="458"/>
      <c r="D471" s="458"/>
      <c r="E471" s="458"/>
      <c r="F471" s="458"/>
      <c r="G471" s="458"/>
      <c r="H471" s="458"/>
      <c r="I471" s="458"/>
      <c r="J471" s="458"/>
      <c r="K471" s="458"/>
      <c r="L471" s="458"/>
      <c r="M471" s="458"/>
      <c r="N471" s="458"/>
      <c r="O471" s="458"/>
      <c r="P471" s="458"/>
      <c r="Q471" s="458"/>
      <c r="R471" s="458"/>
      <c r="S471" s="458"/>
      <c r="T471" s="458"/>
      <c r="U471" s="458"/>
      <c r="V471" s="458"/>
      <c r="W471" s="458"/>
    </row>
    <row r="472" spans="1:23" ht="15.75" customHeight="1">
      <c r="A472" s="458"/>
      <c r="B472" s="458"/>
      <c r="C472" s="458"/>
      <c r="D472" s="458"/>
      <c r="E472" s="458"/>
      <c r="F472" s="458"/>
      <c r="G472" s="458"/>
      <c r="H472" s="458"/>
      <c r="I472" s="458"/>
      <c r="J472" s="458"/>
      <c r="K472" s="458"/>
      <c r="L472" s="458"/>
      <c r="M472" s="458"/>
      <c r="N472" s="458"/>
      <c r="O472" s="458"/>
      <c r="P472" s="458"/>
      <c r="Q472" s="458"/>
      <c r="R472" s="458"/>
      <c r="S472" s="458"/>
      <c r="T472" s="458"/>
      <c r="U472" s="458"/>
      <c r="V472" s="458"/>
      <c r="W472" s="458"/>
    </row>
    <row r="473" spans="1:23" ht="15.75" customHeight="1">
      <c r="A473" s="458"/>
      <c r="B473" s="458"/>
      <c r="C473" s="458"/>
      <c r="D473" s="458"/>
      <c r="E473" s="458"/>
      <c r="F473" s="458"/>
      <c r="G473" s="458"/>
      <c r="H473" s="458"/>
      <c r="I473" s="458"/>
      <c r="J473" s="458"/>
      <c r="K473" s="458"/>
      <c r="L473" s="458"/>
      <c r="M473" s="458"/>
      <c r="N473" s="458"/>
      <c r="O473" s="458"/>
      <c r="P473" s="458"/>
      <c r="Q473" s="458"/>
      <c r="R473" s="458"/>
      <c r="S473" s="458"/>
      <c r="T473" s="458"/>
      <c r="U473" s="458"/>
      <c r="V473" s="458"/>
      <c r="W473" s="458"/>
    </row>
    <row r="474" spans="1:23" ht="15.75" customHeight="1">
      <c r="A474" s="458"/>
      <c r="B474" s="458"/>
      <c r="C474" s="458"/>
      <c r="D474" s="458"/>
      <c r="E474" s="458"/>
      <c r="F474" s="458"/>
      <c r="G474" s="458"/>
      <c r="H474" s="458"/>
      <c r="I474" s="458"/>
      <c r="J474" s="458"/>
      <c r="K474" s="458"/>
      <c r="L474" s="458"/>
      <c r="M474" s="458"/>
      <c r="N474" s="458"/>
      <c r="O474" s="458"/>
      <c r="P474" s="458"/>
      <c r="Q474" s="458"/>
      <c r="R474" s="458"/>
      <c r="S474" s="458"/>
      <c r="T474" s="458"/>
      <c r="U474" s="458"/>
      <c r="V474" s="458"/>
      <c r="W474" s="458"/>
    </row>
    <row r="475" spans="1:23" ht="15.75" customHeight="1">
      <c r="A475" s="458"/>
      <c r="B475" s="458"/>
      <c r="C475" s="458"/>
      <c r="D475" s="458"/>
      <c r="E475" s="458"/>
      <c r="F475" s="458"/>
      <c r="G475" s="458"/>
      <c r="H475" s="458"/>
      <c r="I475" s="458"/>
      <c r="J475" s="458"/>
      <c r="K475" s="458"/>
      <c r="L475" s="458"/>
      <c r="M475" s="458"/>
      <c r="N475" s="458"/>
      <c r="O475" s="458"/>
      <c r="P475" s="458"/>
      <c r="Q475" s="458"/>
      <c r="R475" s="458"/>
      <c r="S475" s="458"/>
      <c r="T475" s="458"/>
      <c r="U475" s="458"/>
      <c r="V475" s="458"/>
      <c r="W475" s="458"/>
    </row>
    <row r="476" spans="1:23" ht="15.75" customHeight="1">
      <c r="A476" s="458"/>
      <c r="B476" s="458"/>
      <c r="C476" s="458"/>
      <c r="D476" s="458"/>
      <c r="E476" s="458"/>
      <c r="F476" s="458"/>
      <c r="G476" s="458"/>
      <c r="H476" s="458"/>
      <c r="I476" s="458"/>
      <c r="J476" s="458"/>
      <c r="K476" s="458"/>
      <c r="L476" s="458"/>
      <c r="M476" s="458"/>
      <c r="N476" s="458"/>
      <c r="O476" s="458"/>
      <c r="P476" s="458"/>
      <c r="Q476" s="458"/>
      <c r="R476" s="458"/>
      <c r="S476" s="458"/>
      <c r="T476" s="458"/>
      <c r="U476" s="458"/>
      <c r="V476" s="458"/>
      <c r="W476" s="458"/>
    </row>
    <row r="477" spans="1:23" ht="15.75" customHeight="1">
      <c r="A477" s="458"/>
      <c r="B477" s="458"/>
      <c r="C477" s="458"/>
      <c r="D477" s="458"/>
      <c r="E477" s="458"/>
      <c r="F477" s="458"/>
      <c r="G477" s="458"/>
      <c r="H477" s="458"/>
      <c r="I477" s="458"/>
      <c r="J477" s="458"/>
      <c r="K477" s="458"/>
      <c r="L477" s="458"/>
      <c r="M477" s="458"/>
      <c r="N477" s="458"/>
      <c r="O477" s="458"/>
      <c r="P477" s="458"/>
      <c r="Q477" s="458"/>
      <c r="R477" s="458"/>
      <c r="S477" s="458"/>
      <c r="T477" s="458"/>
      <c r="U477" s="458"/>
      <c r="V477" s="458"/>
      <c r="W477" s="458"/>
    </row>
    <row r="478" spans="1:23" ht="15.75" customHeight="1">
      <c r="A478" s="458"/>
      <c r="B478" s="458"/>
      <c r="C478" s="458"/>
      <c r="D478" s="458"/>
      <c r="E478" s="458"/>
      <c r="F478" s="458"/>
      <c r="G478" s="458"/>
      <c r="H478" s="458"/>
      <c r="I478" s="458"/>
      <c r="J478" s="458"/>
      <c r="K478" s="458"/>
      <c r="L478" s="458"/>
      <c r="M478" s="458"/>
      <c r="N478" s="458"/>
      <c r="O478" s="458"/>
      <c r="P478" s="458"/>
      <c r="Q478" s="458"/>
      <c r="R478" s="458"/>
      <c r="S478" s="458"/>
      <c r="T478" s="458"/>
      <c r="U478" s="458"/>
      <c r="V478" s="458"/>
      <c r="W478" s="458"/>
    </row>
    <row r="479" spans="1:23" ht="15.75" customHeight="1">
      <c r="A479" s="458"/>
      <c r="B479" s="458"/>
      <c r="C479" s="458"/>
      <c r="D479" s="458"/>
      <c r="E479" s="458"/>
      <c r="F479" s="458"/>
      <c r="G479" s="458"/>
      <c r="H479" s="458"/>
      <c r="I479" s="458"/>
      <c r="J479" s="458"/>
      <c r="K479" s="458"/>
      <c r="L479" s="458"/>
      <c r="M479" s="458"/>
      <c r="N479" s="458"/>
      <c r="O479" s="458"/>
      <c r="P479" s="458"/>
      <c r="Q479" s="458"/>
      <c r="R479" s="458"/>
      <c r="S479" s="458"/>
      <c r="T479" s="458"/>
      <c r="U479" s="458"/>
      <c r="V479" s="458"/>
      <c r="W479" s="458"/>
    </row>
    <row r="480" spans="1:23" ht="15.75" customHeight="1">
      <c r="A480" s="458"/>
      <c r="B480" s="458"/>
      <c r="C480" s="458"/>
      <c r="D480" s="458"/>
      <c r="E480" s="458"/>
      <c r="F480" s="458"/>
      <c r="G480" s="458"/>
      <c r="H480" s="458"/>
      <c r="I480" s="458"/>
      <c r="J480" s="458"/>
      <c r="K480" s="458"/>
      <c r="L480" s="458"/>
      <c r="M480" s="458"/>
      <c r="N480" s="458"/>
      <c r="O480" s="458"/>
      <c r="P480" s="458"/>
      <c r="Q480" s="458"/>
      <c r="R480" s="458"/>
      <c r="S480" s="458"/>
      <c r="T480" s="458"/>
      <c r="U480" s="458"/>
      <c r="V480" s="458"/>
      <c r="W480" s="458"/>
    </row>
    <row r="481" spans="1:23" ht="15.75" customHeight="1">
      <c r="A481" s="458"/>
      <c r="B481" s="458"/>
      <c r="C481" s="458"/>
      <c r="D481" s="458"/>
      <c r="E481" s="458"/>
      <c r="F481" s="458"/>
      <c r="G481" s="458"/>
      <c r="H481" s="458"/>
      <c r="I481" s="458"/>
      <c r="J481" s="458"/>
      <c r="K481" s="458"/>
      <c r="L481" s="458"/>
      <c r="M481" s="458"/>
      <c r="N481" s="458"/>
      <c r="O481" s="458"/>
      <c r="P481" s="458"/>
      <c r="Q481" s="458"/>
      <c r="R481" s="458"/>
      <c r="S481" s="458"/>
      <c r="T481" s="458"/>
      <c r="U481" s="458"/>
      <c r="V481" s="458"/>
      <c r="W481" s="458"/>
    </row>
    <row r="482" spans="1:23" ht="15.75" customHeight="1">
      <c r="A482" s="458"/>
      <c r="B482" s="458"/>
      <c r="C482" s="458"/>
      <c r="D482" s="458"/>
      <c r="E482" s="458"/>
      <c r="F482" s="458"/>
      <c r="G482" s="458"/>
      <c r="H482" s="458"/>
      <c r="I482" s="458"/>
      <c r="J482" s="458"/>
      <c r="K482" s="458"/>
      <c r="L482" s="458"/>
      <c r="M482" s="458"/>
      <c r="N482" s="458"/>
      <c r="O482" s="458"/>
      <c r="P482" s="458"/>
      <c r="Q482" s="458"/>
      <c r="R482" s="458"/>
      <c r="S482" s="458"/>
      <c r="T482" s="458"/>
      <c r="U482" s="458"/>
      <c r="V482" s="458"/>
      <c r="W482" s="458"/>
    </row>
    <row r="483" spans="1:23" ht="15.75" customHeight="1">
      <c r="A483" s="458"/>
      <c r="B483" s="458"/>
      <c r="C483" s="458"/>
      <c r="D483" s="458"/>
      <c r="E483" s="458"/>
      <c r="F483" s="458"/>
      <c r="G483" s="458"/>
      <c r="H483" s="458"/>
      <c r="I483" s="458"/>
      <c r="J483" s="458"/>
      <c r="K483" s="458"/>
      <c r="L483" s="458"/>
      <c r="M483" s="458"/>
      <c r="N483" s="458"/>
      <c r="O483" s="458"/>
      <c r="P483" s="458"/>
      <c r="Q483" s="458"/>
      <c r="R483" s="458"/>
      <c r="S483" s="458"/>
      <c r="T483" s="458"/>
      <c r="U483" s="458"/>
      <c r="V483" s="458"/>
      <c r="W483" s="458"/>
    </row>
    <row r="484" spans="1:23" ht="15.75" customHeight="1">
      <c r="A484" s="458"/>
      <c r="B484" s="458"/>
      <c r="C484" s="458"/>
      <c r="D484" s="458"/>
      <c r="E484" s="458"/>
      <c r="F484" s="458"/>
      <c r="G484" s="458"/>
      <c r="H484" s="458"/>
      <c r="I484" s="458"/>
      <c r="J484" s="458"/>
      <c r="K484" s="458"/>
      <c r="L484" s="458"/>
      <c r="M484" s="458"/>
      <c r="N484" s="458"/>
      <c r="O484" s="458"/>
      <c r="P484" s="458"/>
      <c r="Q484" s="458"/>
      <c r="R484" s="458"/>
      <c r="S484" s="458"/>
      <c r="T484" s="458"/>
      <c r="U484" s="458"/>
      <c r="V484" s="458"/>
      <c r="W484" s="458"/>
    </row>
    <row r="485" spans="1:23" ht="15.75" customHeight="1">
      <c r="A485" s="458"/>
      <c r="B485" s="458"/>
      <c r="C485" s="458"/>
      <c r="D485" s="458"/>
      <c r="E485" s="458"/>
      <c r="F485" s="458"/>
      <c r="G485" s="458"/>
      <c r="H485" s="458"/>
      <c r="I485" s="458"/>
      <c r="J485" s="458"/>
      <c r="K485" s="458"/>
      <c r="L485" s="458"/>
      <c r="M485" s="458"/>
      <c r="N485" s="458"/>
      <c r="O485" s="458"/>
      <c r="P485" s="458"/>
      <c r="Q485" s="458"/>
      <c r="R485" s="458"/>
      <c r="S485" s="458"/>
      <c r="T485" s="458"/>
      <c r="U485" s="458"/>
      <c r="V485" s="458"/>
      <c r="W485" s="458"/>
    </row>
    <row r="486" spans="1:23" ht="15.75" customHeight="1">
      <c r="A486" s="458"/>
      <c r="B486" s="458"/>
      <c r="C486" s="458"/>
      <c r="D486" s="458"/>
      <c r="E486" s="458"/>
      <c r="F486" s="458"/>
      <c r="G486" s="458"/>
      <c r="H486" s="458"/>
      <c r="I486" s="458"/>
      <c r="J486" s="458"/>
      <c r="K486" s="458"/>
      <c r="L486" s="458"/>
      <c r="M486" s="458"/>
      <c r="N486" s="458"/>
      <c r="O486" s="458"/>
      <c r="P486" s="458"/>
      <c r="Q486" s="458"/>
      <c r="R486" s="458"/>
      <c r="S486" s="458"/>
      <c r="T486" s="458"/>
      <c r="U486" s="458"/>
      <c r="V486" s="458"/>
      <c r="W486" s="458"/>
    </row>
    <row r="487" spans="1:23" ht="15.75" customHeight="1">
      <c r="A487" s="458"/>
      <c r="B487" s="458"/>
      <c r="C487" s="458"/>
      <c r="D487" s="458"/>
      <c r="E487" s="458"/>
      <c r="F487" s="458"/>
      <c r="G487" s="458"/>
      <c r="H487" s="458"/>
      <c r="I487" s="458"/>
      <c r="J487" s="458"/>
      <c r="K487" s="458"/>
      <c r="L487" s="458"/>
      <c r="M487" s="458"/>
      <c r="N487" s="458"/>
      <c r="O487" s="458"/>
      <c r="P487" s="458"/>
      <c r="Q487" s="458"/>
      <c r="R487" s="458"/>
      <c r="S487" s="458"/>
      <c r="T487" s="458"/>
      <c r="U487" s="458"/>
      <c r="V487" s="458"/>
      <c r="W487" s="458"/>
    </row>
    <row r="488" spans="1:23" ht="15.75" customHeight="1">
      <c r="A488" s="458"/>
      <c r="B488" s="458"/>
      <c r="C488" s="458"/>
      <c r="D488" s="458"/>
      <c r="E488" s="458"/>
      <c r="F488" s="458"/>
      <c r="G488" s="458"/>
      <c r="H488" s="458"/>
      <c r="I488" s="458"/>
      <c r="J488" s="458"/>
      <c r="K488" s="458"/>
      <c r="L488" s="458"/>
      <c r="M488" s="458"/>
      <c r="N488" s="458"/>
      <c r="O488" s="458"/>
      <c r="P488" s="458"/>
      <c r="Q488" s="458"/>
      <c r="R488" s="458"/>
      <c r="S488" s="458"/>
      <c r="T488" s="458"/>
      <c r="U488" s="458"/>
      <c r="V488" s="458"/>
      <c r="W488" s="458"/>
    </row>
    <row r="489" spans="1:23" ht="15.75" customHeight="1">
      <c r="A489" s="458"/>
      <c r="B489" s="458"/>
      <c r="C489" s="458"/>
      <c r="D489" s="458"/>
      <c r="E489" s="458"/>
      <c r="F489" s="458"/>
      <c r="G489" s="458"/>
      <c r="H489" s="458"/>
      <c r="I489" s="458"/>
      <c r="J489" s="458"/>
      <c r="K489" s="458"/>
      <c r="L489" s="458"/>
      <c r="M489" s="458"/>
      <c r="N489" s="458"/>
      <c r="O489" s="458"/>
      <c r="P489" s="458"/>
      <c r="Q489" s="458"/>
      <c r="R489" s="458"/>
      <c r="S489" s="458"/>
      <c r="T489" s="458"/>
      <c r="U489" s="458"/>
      <c r="V489" s="458"/>
      <c r="W489" s="458"/>
    </row>
    <row r="490" spans="1:23" ht="15.75" customHeight="1">
      <c r="A490" s="458"/>
      <c r="B490" s="458"/>
      <c r="C490" s="458"/>
      <c r="D490" s="458"/>
      <c r="E490" s="458"/>
      <c r="F490" s="458"/>
      <c r="G490" s="458"/>
      <c r="H490" s="458"/>
      <c r="I490" s="458"/>
      <c r="J490" s="458"/>
      <c r="K490" s="458"/>
      <c r="L490" s="458"/>
      <c r="M490" s="458"/>
      <c r="N490" s="458"/>
      <c r="O490" s="458"/>
      <c r="P490" s="458"/>
      <c r="Q490" s="458"/>
      <c r="R490" s="458"/>
      <c r="S490" s="458"/>
      <c r="T490" s="458"/>
      <c r="U490" s="458"/>
      <c r="V490" s="458"/>
      <c r="W490" s="458"/>
    </row>
    <row r="491" spans="1:23" ht="15.75" customHeight="1">
      <c r="A491" s="458"/>
      <c r="B491" s="458"/>
      <c r="C491" s="458"/>
      <c r="D491" s="458"/>
      <c r="E491" s="458"/>
      <c r="F491" s="458"/>
      <c r="G491" s="458"/>
      <c r="H491" s="458"/>
      <c r="I491" s="458"/>
      <c r="J491" s="458"/>
      <c r="K491" s="458"/>
      <c r="L491" s="458"/>
      <c r="M491" s="458"/>
      <c r="N491" s="458"/>
      <c r="O491" s="458"/>
      <c r="P491" s="458"/>
      <c r="Q491" s="458"/>
      <c r="R491" s="458"/>
      <c r="S491" s="458"/>
      <c r="T491" s="458"/>
      <c r="U491" s="458"/>
      <c r="V491" s="458"/>
      <c r="W491" s="458"/>
    </row>
    <row r="492" spans="1:23" ht="15.75" customHeight="1">
      <c r="A492" s="458"/>
      <c r="B492" s="458"/>
      <c r="C492" s="458"/>
      <c r="D492" s="458"/>
      <c r="E492" s="458"/>
      <c r="F492" s="458"/>
      <c r="G492" s="458"/>
      <c r="H492" s="458"/>
      <c r="I492" s="458"/>
      <c r="J492" s="458"/>
      <c r="K492" s="458"/>
      <c r="L492" s="458"/>
      <c r="M492" s="458"/>
      <c r="N492" s="458"/>
      <c r="O492" s="458"/>
      <c r="P492" s="458"/>
      <c r="Q492" s="458"/>
      <c r="R492" s="458"/>
      <c r="S492" s="458"/>
      <c r="T492" s="458"/>
      <c r="U492" s="458"/>
      <c r="V492" s="458"/>
      <c r="W492" s="458"/>
    </row>
    <row r="493" spans="1:23" ht="15.75" customHeight="1">
      <c r="A493" s="458"/>
      <c r="B493" s="458"/>
      <c r="C493" s="458"/>
      <c r="D493" s="458"/>
      <c r="E493" s="458"/>
      <c r="F493" s="458"/>
      <c r="G493" s="458"/>
      <c r="H493" s="458"/>
      <c r="I493" s="458"/>
      <c r="J493" s="458"/>
      <c r="K493" s="458"/>
      <c r="L493" s="458"/>
      <c r="M493" s="458"/>
      <c r="N493" s="458"/>
      <c r="O493" s="458"/>
      <c r="P493" s="458"/>
      <c r="Q493" s="458"/>
      <c r="R493" s="458"/>
      <c r="S493" s="458"/>
      <c r="T493" s="458"/>
      <c r="U493" s="458"/>
      <c r="V493" s="458"/>
      <c r="W493" s="458"/>
    </row>
    <row r="494" spans="1:23" ht="15.75" customHeight="1">
      <c r="A494" s="458"/>
      <c r="B494" s="458"/>
      <c r="C494" s="458"/>
      <c r="D494" s="458"/>
      <c r="E494" s="458"/>
      <c r="F494" s="458"/>
      <c r="G494" s="458"/>
      <c r="H494" s="458"/>
      <c r="I494" s="458"/>
      <c r="J494" s="458"/>
      <c r="K494" s="458"/>
      <c r="L494" s="458"/>
      <c r="M494" s="458"/>
      <c r="N494" s="458"/>
      <c r="O494" s="458"/>
      <c r="P494" s="458"/>
      <c r="Q494" s="458"/>
      <c r="R494" s="458"/>
      <c r="S494" s="458"/>
      <c r="T494" s="458"/>
      <c r="U494" s="458"/>
      <c r="V494" s="458"/>
      <c r="W494" s="458"/>
    </row>
    <row r="495" spans="1:23" ht="15.75" customHeight="1">
      <c r="A495" s="458"/>
      <c r="B495" s="458"/>
      <c r="C495" s="458"/>
      <c r="D495" s="458"/>
      <c r="E495" s="458"/>
      <c r="F495" s="458"/>
      <c r="G495" s="458"/>
      <c r="H495" s="458"/>
      <c r="I495" s="458"/>
      <c r="J495" s="458"/>
      <c r="K495" s="458"/>
      <c r="L495" s="458"/>
      <c r="M495" s="458"/>
      <c r="N495" s="458"/>
      <c r="O495" s="458"/>
      <c r="P495" s="458"/>
      <c r="Q495" s="458"/>
      <c r="R495" s="458"/>
      <c r="S495" s="458"/>
      <c r="T495" s="458"/>
      <c r="U495" s="458"/>
      <c r="V495" s="458"/>
      <c r="W495" s="458"/>
    </row>
    <row r="496" spans="1:23" ht="15.75" customHeight="1">
      <c r="A496" s="458"/>
      <c r="B496" s="458"/>
      <c r="C496" s="458"/>
      <c r="D496" s="458"/>
      <c r="E496" s="458"/>
      <c r="F496" s="458"/>
      <c r="G496" s="458"/>
      <c r="H496" s="458"/>
      <c r="I496" s="458"/>
      <c r="J496" s="458"/>
      <c r="K496" s="458"/>
      <c r="L496" s="458"/>
      <c r="M496" s="458"/>
      <c r="N496" s="458"/>
      <c r="O496" s="458"/>
      <c r="P496" s="458"/>
      <c r="Q496" s="458"/>
      <c r="R496" s="458"/>
      <c r="S496" s="458"/>
      <c r="T496" s="458"/>
      <c r="U496" s="458"/>
      <c r="V496" s="458"/>
      <c r="W496" s="458"/>
    </row>
    <row r="497" spans="1:23" ht="15.75" customHeight="1">
      <c r="A497" s="458"/>
      <c r="B497" s="458"/>
      <c r="C497" s="458"/>
      <c r="D497" s="458"/>
      <c r="E497" s="458"/>
      <c r="F497" s="458"/>
      <c r="G497" s="458"/>
      <c r="H497" s="458"/>
      <c r="I497" s="458"/>
      <c r="J497" s="458"/>
      <c r="K497" s="458"/>
      <c r="L497" s="458"/>
      <c r="M497" s="458"/>
      <c r="N497" s="458"/>
      <c r="O497" s="458"/>
      <c r="P497" s="458"/>
      <c r="Q497" s="458"/>
      <c r="R497" s="458"/>
      <c r="S497" s="458"/>
      <c r="T497" s="458"/>
      <c r="U497" s="458"/>
      <c r="V497" s="458"/>
      <c r="W497" s="458"/>
    </row>
    <row r="498" spans="1:23" ht="15.75" customHeight="1">
      <c r="A498" s="458"/>
      <c r="B498" s="458"/>
      <c r="C498" s="458"/>
      <c r="D498" s="458"/>
      <c r="E498" s="458"/>
      <c r="F498" s="458"/>
      <c r="G498" s="458"/>
      <c r="H498" s="458"/>
      <c r="I498" s="458"/>
      <c r="J498" s="458"/>
      <c r="K498" s="458"/>
      <c r="L498" s="458"/>
      <c r="M498" s="458"/>
      <c r="N498" s="458"/>
      <c r="O498" s="458"/>
      <c r="P498" s="458"/>
      <c r="Q498" s="458"/>
      <c r="R498" s="458"/>
      <c r="S498" s="458"/>
      <c r="T498" s="458"/>
      <c r="U498" s="458"/>
      <c r="V498" s="458"/>
      <c r="W498" s="458"/>
    </row>
    <row r="499" spans="1:23" ht="15.75" customHeight="1">
      <c r="A499" s="458"/>
      <c r="B499" s="458"/>
      <c r="C499" s="458"/>
      <c r="D499" s="458"/>
      <c r="E499" s="458"/>
      <c r="F499" s="458"/>
      <c r="G499" s="458"/>
      <c r="H499" s="458"/>
      <c r="I499" s="458"/>
      <c r="J499" s="458"/>
      <c r="K499" s="458"/>
      <c r="L499" s="458"/>
      <c r="M499" s="458"/>
      <c r="N499" s="458"/>
      <c r="O499" s="458"/>
      <c r="P499" s="458"/>
      <c r="Q499" s="458"/>
      <c r="R499" s="458"/>
      <c r="S499" s="458"/>
      <c r="T499" s="458"/>
      <c r="U499" s="458"/>
      <c r="V499" s="458"/>
      <c r="W499" s="458"/>
    </row>
    <row r="500" spans="1:23" ht="15.75" customHeight="1">
      <c r="A500" s="458"/>
      <c r="B500" s="458"/>
      <c r="C500" s="458"/>
      <c r="D500" s="458"/>
      <c r="E500" s="458"/>
      <c r="F500" s="458"/>
      <c r="G500" s="458"/>
      <c r="H500" s="458"/>
      <c r="I500" s="458"/>
      <c r="J500" s="458"/>
      <c r="K500" s="458"/>
      <c r="L500" s="458"/>
      <c r="M500" s="458"/>
      <c r="N500" s="458"/>
      <c r="O500" s="458"/>
      <c r="P500" s="458"/>
      <c r="Q500" s="458"/>
      <c r="R500" s="458"/>
      <c r="S500" s="458"/>
      <c r="T500" s="458"/>
      <c r="U500" s="458"/>
      <c r="V500" s="458"/>
      <c r="W500" s="458"/>
    </row>
    <row r="501" spans="1:23" ht="15.75" customHeight="1">
      <c r="A501" s="458"/>
      <c r="B501" s="458"/>
      <c r="C501" s="458"/>
      <c r="D501" s="458"/>
      <c r="E501" s="458"/>
      <c r="F501" s="458"/>
      <c r="G501" s="458"/>
      <c r="H501" s="458"/>
      <c r="I501" s="458"/>
      <c r="J501" s="458"/>
      <c r="K501" s="458"/>
      <c r="L501" s="458"/>
      <c r="M501" s="458"/>
      <c r="N501" s="458"/>
      <c r="O501" s="458"/>
      <c r="P501" s="458"/>
      <c r="Q501" s="458"/>
      <c r="R501" s="458"/>
      <c r="S501" s="458"/>
      <c r="T501" s="458"/>
      <c r="U501" s="458"/>
      <c r="V501" s="458"/>
      <c r="W501" s="458"/>
    </row>
    <row r="502" spans="1:23" ht="15.75" customHeight="1">
      <c r="A502" s="458"/>
      <c r="B502" s="458"/>
      <c r="C502" s="458"/>
      <c r="D502" s="458"/>
      <c r="E502" s="458"/>
      <c r="F502" s="458"/>
      <c r="G502" s="458"/>
      <c r="H502" s="458"/>
      <c r="I502" s="458"/>
      <c r="J502" s="458"/>
      <c r="K502" s="458"/>
      <c r="L502" s="458"/>
      <c r="M502" s="458"/>
      <c r="N502" s="458"/>
      <c r="O502" s="458"/>
      <c r="P502" s="458"/>
      <c r="Q502" s="458"/>
      <c r="R502" s="458"/>
      <c r="S502" s="458"/>
      <c r="T502" s="458"/>
      <c r="U502" s="458"/>
      <c r="V502" s="458"/>
      <c r="W502" s="458"/>
    </row>
    <row r="503" spans="1:23" ht="15.75" customHeight="1">
      <c r="A503" s="458"/>
      <c r="B503" s="458"/>
      <c r="C503" s="458"/>
      <c r="D503" s="458"/>
      <c r="E503" s="458"/>
      <c r="F503" s="458"/>
      <c r="G503" s="458"/>
      <c r="H503" s="458"/>
      <c r="I503" s="458"/>
      <c r="J503" s="458"/>
      <c r="K503" s="458"/>
      <c r="L503" s="458"/>
      <c r="M503" s="458"/>
      <c r="N503" s="458"/>
      <c r="O503" s="458"/>
      <c r="P503" s="458"/>
      <c r="Q503" s="458"/>
      <c r="R503" s="458"/>
      <c r="S503" s="458"/>
      <c r="T503" s="458"/>
      <c r="U503" s="458"/>
      <c r="V503" s="458"/>
      <c r="W503" s="458"/>
    </row>
    <row r="504" spans="1:23" ht="15.75" customHeight="1">
      <c r="A504" s="458"/>
      <c r="B504" s="458"/>
      <c r="C504" s="458"/>
      <c r="D504" s="458"/>
      <c r="E504" s="458"/>
      <c r="F504" s="458"/>
      <c r="G504" s="458"/>
      <c r="H504" s="458"/>
      <c r="I504" s="458"/>
      <c r="J504" s="458"/>
      <c r="K504" s="458"/>
      <c r="L504" s="458"/>
      <c r="M504" s="458"/>
      <c r="N504" s="458"/>
      <c r="O504" s="458"/>
      <c r="P504" s="458"/>
      <c r="Q504" s="458"/>
      <c r="R504" s="458"/>
      <c r="S504" s="458"/>
      <c r="T504" s="458"/>
      <c r="U504" s="458"/>
      <c r="V504" s="458"/>
      <c r="W504" s="458"/>
    </row>
    <row r="505" spans="1:23" ht="15.75" customHeight="1">
      <c r="A505" s="458"/>
      <c r="B505" s="458"/>
      <c r="C505" s="458"/>
      <c r="D505" s="458"/>
      <c r="E505" s="458"/>
      <c r="F505" s="458"/>
      <c r="G505" s="458"/>
      <c r="H505" s="458"/>
      <c r="I505" s="458"/>
      <c r="J505" s="458"/>
      <c r="K505" s="458"/>
      <c r="L505" s="458"/>
      <c r="M505" s="458"/>
      <c r="N505" s="458"/>
      <c r="O505" s="458"/>
      <c r="P505" s="458"/>
      <c r="Q505" s="458"/>
      <c r="R505" s="458"/>
      <c r="S505" s="458"/>
      <c r="T505" s="458"/>
      <c r="U505" s="458"/>
      <c r="V505" s="458"/>
      <c r="W505" s="458"/>
    </row>
    <row r="506" spans="1:23" ht="15.75" customHeight="1">
      <c r="A506" s="458"/>
      <c r="B506" s="458"/>
      <c r="C506" s="458"/>
      <c r="D506" s="458"/>
      <c r="E506" s="458"/>
      <c r="F506" s="458"/>
      <c r="G506" s="458"/>
      <c r="H506" s="458"/>
      <c r="I506" s="458"/>
      <c r="J506" s="458"/>
      <c r="K506" s="458"/>
      <c r="L506" s="458"/>
      <c r="M506" s="458"/>
      <c r="N506" s="458"/>
      <c r="O506" s="458"/>
      <c r="P506" s="458"/>
      <c r="Q506" s="458"/>
      <c r="R506" s="458"/>
      <c r="S506" s="458"/>
      <c r="T506" s="458"/>
      <c r="U506" s="458"/>
      <c r="V506" s="458"/>
      <c r="W506" s="458"/>
    </row>
    <row r="507" spans="1:23" ht="15.75" customHeight="1">
      <c r="A507" s="458"/>
      <c r="B507" s="458"/>
      <c r="C507" s="458"/>
      <c r="D507" s="458"/>
      <c r="E507" s="458"/>
      <c r="F507" s="458"/>
      <c r="G507" s="458"/>
      <c r="H507" s="458"/>
      <c r="I507" s="458"/>
      <c r="J507" s="458"/>
      <c r="K507" s="458"/>
      <c r="L507" s="458"/>
      <c r="M507" s="458"/>
      <c r="N507" s="458"/>
      <c r="O507" s="458"/>
      <c r="P507" s="458"/>
      <c r="Q507" s="458"/>
      <c r="R507" s="458"/>
      <c r="S507" s="458"/>
      <c r="T507" s="458"/>
      <c r="U507" s="458"/>
      <c r="V507" s="458"/>
      <c r="W507" s="458"/>
    </row>
    <row r="508" spans="1:23" ht="15.75" customHeight="1">
      <c r="A508" s="458"/>
      <c r="B508" s="458"/>
      <c r="C508" s="458"/>
      <c r="D508" s="458"/>
      <c r="E508" s="458"/>
      <c r="F508" s="458"/>
      <c r="G508" s="458"/>
      <c r="H508" s="458"/>
      <c r="I508" s="458"/>
      <c r="J508" s="458"/>
      <c r="K508" s="458"/>
      <c r="L508" s="458"/>
      <c r="M508" s="458"/>
      <c r="N508" s="458"/>
      <c r="O508" s="458"/>
      <c r="P508" s="458"/>
      <c r="Q508" s="458"/>
      <c r="R508" s="458"/>
      <c r="S508" s="458"/>
      <c r="T508" s="458"/>
      <c r="U508" s="458"/>
      <c r="V508" s="458"/>
      <c r="W508" s="458"/>
    </row>
    <row r="509" spans="1:23" ht="15.75" customHeight="1">
      <c r="A509" s="458"/>
      <c r="B509" s="458"/>
      <c r="C509" s="458"/>
      <c r="D509" s="458"/>
      <c r="E509" s="458"/>
      <c r="F509" s="458"/>
      <c r="G509" s="458"/>
      <c r="H509" s="458"/>
      <c r="I509" s="458"/>
      <c r="J509" s="458"/>
      <c r="K509" s="458"/>
      <c r="L509" s="458"/>
      <c r="M509" s="458"/>
      <c r="N509" s="458"/>
      <c r="O509" s="458"/>
      <c r="P509" s="458"/>
      <c r="Q509" s="458"/>
      <c r="R509" s="458"/>
      <c r="S509" s="458"/>
      <c r="T509" s="458"/>
      <c r="U509" s="458"/>
      <c r="V509" s="458"/>
      <c r="W509" s="458"/>
    </row>
    <row r="510" spans="1:23" ht="15.75" customHeight="1">
      <c r="A510" s="458"/>
      <c r="B510" s="458"/>
      <c r="C510" s="458"/>
      <c r="D510" s="458"/>
      <c r="E510" s="458"/>
      <c r="F510" s="458"/>
      <c r="G510" s="458"/>
      <c r="H510" s="458"/>
      <c r="I510" s="458"/>
      <c r="J510" s="458"/>
      <c r="K510" s="458"/>
      <c r="L510" s="458"/>
      <c r="M510" s="458"/>
      <c r="N510" s="458"/>
      <c r="O510" s="458"/>
      <c r="P510" s="458"/>
      <c r="Q510" s="458"/>
      <c r="R510" s="458"/>
      <c r="S510" s="458"/>
      <c r="T510" s="458"/>
      <c r="U510" s="458"/>
      <c r="V510" s="458"/>
      <c r="W510" s="458"/>
    </row>
    <row r="511" spans="1:23" ht="15.75" customHeight="1">
      <c r="A511" s="458"/>
      <c r="B511" s="458"/>
      <c r="C511" s="458"/>
      <c r="D511" s="458"/>
      <c r="E511" s="458"/>
      <c r="F511" s="458"/>
      <c r="G511" s="458"/>
      <c r="H511" s="458"/>
      <c r="I511" s="458"/>
      <c r="J511" s="458"/>
      <c r="K511" s="458"/>
      <c r="L511" s="458"/>
      <c r="M511" s="458"/>
      <c r="N511" s="458"/>
      <c r="O511" s="458"/>
      <c r="P511" s="458"/>
      <c r="Q511" s="458"/>
      <c r="R511" s="458"/>
      <c r="S511" s="458"/>
      <c r="T511" s="458"/>
      <c r="U511" s="458"/>
      <c r="V511" s="458"/>
      <c r="W511" s="458"/>
    </row>
    <row r="512" spans="1:23" ht="15.75" customHeight="1">
      <c r="A512" s="458"/>
      <c r="B512" s="458"/>
      <c r="C512" s="458"/>
      <c r="D512" s="458"/>
      <c r="E512" s="458"/>
      <c r="F512" s="458"/>
      <c r="G512" s="458"/>
      <c r="H512" s="458"/>
      <c r="I512" s="458"/>
      <c r="J512" s="458"/>
      <c r="K512" s="458"/>
      <c r="L512" s="458"/>
      <c r="M512" s="458"/>
      <c r="N512" s="458"/>
      <c r="O512" s="458"/>
      <c r="P512" s="458"/>
      <c r="Q512" s="458"/>
      <c r="R512" s="458"/>
      <c r="S512" s="458"/>
      <c r="T512" s="458"/>
      <c r="U512" s="458"/>
      <c r="V512" s="458"/>
      <c r="W512" s="458"/>
    </row>
    <row r="513" spans="1:23" ht="15.75" customHeight="1">
      <c r="A513" s="458"/>
      <c r="B513" s="458"/>
      <c r="C513" s="458"/>
      <c r="D513" s="458"/>
      <c r="E513" s="458"/>
      <c r="F513" s="458"/>
      <c r="G513" s="458"/>
      <c r="H513" s="458"/>
      <c r="I513" s="458"/>
      <c r="J513" s="458"/>
      <c r="K513" s="458"/>
      <c r="L513" s="458"/>
      <c r="M513" s="458"/>
      <c r="N513" s="458"/>
      <c r="O513" s="458"/>
      <c r="P513" s="458"/>
      <c r="Q513" s="458"/>
      <c r="R513" s="458"/>
      <c r="S513" s="458"/>
      <c r="T513" s="458"/>
      <c r="U513" s="458"/>
      <c r="V513" s="458"/>
      <c r="W513" s="458"/>
    </row>
    <row r="514" spans="1:23" ht="15.75" customHeight="1">
      <c r="A514" s="458"/>
      <c r="B514" s="458"/>
      <c r="C514" s="458"/>
      <c r="D514" s="458"/>
      <c r="E514" s="458"/>
      <c r="F514" s="458"/>
      <c r="G514" s="458"/>
      <c r="H514" s="458"/>
      <c r="I514" s="458"/>
      <c r="J514" s="458"/>
      <c r="K514" s="458"/>
      <c r="L514" s="458"/>
      <c r="M514" s="458"/>
      <c r="N514" s="458"/>
      <c r="O514" s="458"/>
      <c r="P514" s="458"/>
      <c r="Q514" s="458"/>
      <c r="R514" s="458"/>
      <c r="S514" s="458"/>
      <c r="T514" s="458"/>
      <c r="U514" s="458"/>
      <c r="V514" s="458"/>
      <c r="W514" s="458"/>
    </row>
    <row r="515" spans="1:23" ht="15.75" customHeight="1">
      <c r="A515" s="458"/>
      <c r="B515" s="458"/>
      <c r="C515" s="458"/>
      <c r="D515" s="458"/>
      <c r="E515" s="458"/>
      <c r="F515" s="458"/>
      <c r="G515" s="458"/>
      <c r="H515" s="458"/>
      <c r="I515" s="458"/>
      <c r="J515" s="458"/>
      <c r="K515" s="458"/>
      <c r="L515" s="458"/>
      <c r="M515" s="458"/>
      <c r="N515" s="458"/>
      <c r="O515" s="458"/>
      <c r="P515" s="458"/>
      <c r="Q515" s="458"/>
      <c r="R515" s="458"/>
      <c r="S515" s="458"/>
      <c r="T515" s="458"/>
      <c r="U515" s="458"/>
      <c r="V515" s="458"/>
      <c r="W515" s="458"/>
    </row>
    <row r="516" spans="1:23" ht="15.75" customHeight="1">
      <c r="A516" s="458"/>
      <c r="B516" s="458"/>
      <c r="C516" s="458"/>
      <c r="D516" s="458"/>
      <c r="E516" s="458"/>
      <c r="F516" s="458"/>
      <c r="G516" s="458"/>
      <c r="H516" s="458"/>
      <c r="I516" s="458"/>
      <c r="J516" s="458"/>
      <c r="K516" s="458"/>
      <c r="L516" s="458"/>
      <c r="M516" s="458"/>
      <c r="N516" s="458"/>
      <c r="O516" s="458"/>
      <c r="P516" s="458"/>
      <c r="Q516" s="458"/>
      <c r="R516" s="458"/>
      <c r="S516" s="458"/>
      <c r="T516" s="458"/>
      <c r="U516" s="458"/>
      <c r="V516" s="458"/>
      <c r="W516" s="458"/>
    </row>
    <row r="517" spans="1:23" ht="15.75" customHeight="1">
      <c r="A517" s="458"/>
      <c r="B517" s="458"/>
      <c r="C517" s="458"/>
      <c r="D517" s="458"/>
      <c r="E517" s="458"/>
      <c r="F517" s="458"/>
      <c r="G517" s="458"/>
      <c r="H517" s="458"/>
      <c r="I517" s="458"/>
      <c r="J517" s="458"/>
      <c r="K517" s="458"/>
      <c r="L517" s="458"/>
      <c r="M517" s="458"/>
      <c r="N517" s="458"/>
      <c r="O517" s="458"/>
      <c r="P517" s="458"/>
      <c r="Q517" s="458"/>
      <c r="R517" s="458"/>
      <c r="S517" s="458"/>
      <c r="T517" s="458"/>
      <c r="U517" s="458"/>
      <c r="V517" s="458"/>
      <c r="W517" s="458"/>
    </row>
    <row r="518" spans="1:23" ht="15.75" customHeight="1">
      <c r="A518" s="458"/>
      <c r="B518" s="458"/>
      <c r="C518" s="458"/>
      <c r="D518" s="458"/>
      <c r="E518" s="458"/>
      <c r="F518" s="458"/>
      <c r="G518" s="458"/>
      <c r="H518" s="458"/>
      <c r="I518" s="458"/>
      <c r="J518" s="458"/>
      <c r="K518" s="458"/>
      <c r="L518" s="458"/>
      <c r="M518" s="458"/>
      <c r="N518" s="458"/>
      <c r="O518" s="458"/>
      <c r="P518" s="458"/>
      <c r="Q518" s="458"/>
      <c r="R518" s="458"/>
      <c r="S518" s="458"/>
      <c r="T518" s="458"/>
      <c r="U518" s="458"/>
      <c r="V518" s="458"/>
      <c r="W518" s="458"/>
    </row>
    <row r="519" spans="1:23" ht="15.75" customHeight="1">
      <c r="A519" s="458"/>
      <c r="B519" s="458"/>
      <c r="C519" s="458"/>
      <c r="D519" s="458"/>
      <c r="E519" s="458"/>
      <c r="F519" s="458"/>
      <c r="G519" s="458"/>
      <c r="H519" s="458"/>
      <c r="I519" s="458"/>
      <c r="J519" s="458"/>
      <c r="K519" s="458"/>
      <c r="L519" s="458"/>
      <c r="M519" s="458"/>
      <c r="N519" s="458"/>
      <c r="O519" s="458"/>
      <c r="P519" s="458"/>
      <c r="Q519" s="458"/>
      <c r="R519" s="458"/>
      <c r="S519" s="458"/>
      <c r="T519" s="458"/>
      <c r="U519" s="458"/>
      <c r="V519" s="458"/>
      <c r="W519" s="458"/>
    </row>
    <row r="520" spans="1:23" ht="15.75" customHeight="1">
      <c r="A520" s="458"/>
      <c r="B520" s="458"/>
      <c r="C520" s="458"/>
      <c r="D520" s="458"/>
      <c r="E520" s="458"/>
      <c r="F520" s="458"/>
      <c r="G520" s="458"/>
      <c r="H520" s="458"/>
      <c r="I520" s="458"/>
      <c r="J520" s="458"/>
      <c r="K520" s="458"/>
      <c r="L520" s="458"/>
      <c r="M520" s="458"/>
      <c r="N520" s="458"/>
      <c r="O520" s="458"/>
      <c r="P520" s="458"/>
      <c r="Q520" s="458"/>
      <c r="R520" s="458"/>
      <c r="S520" s="458"/>
      <c r="T520" s="458"/>
      <c r="U520" s="458"/>
      <c r="V520" s="458"/>
      <c r="W520" s="458"/>
    </row>
    <row r="521" spans="1:23" ht="15.75" customHeight="1">
      <c r="A521" s="458"/>
      <c r="B521" s="458"/>
      <c r="C521" s="458"/>
      <c r="D521" s="458"/>
      <c r="E521" s="458"/>
      <c r="F521" s="458"/>
      <c r="G521" s="458"/>
      <c r="H521" s="458"/>
      <c r="I521" s="458"/>
      <c r="J521" s="458"/>
      <c r="K521" s="458"/>
      <c r="L521" s="458"/>
      <c r="M521" s="458"/>
      <c r="N521" s="458"/>
      <c r="O521" s="458"/>
      <c r="P521" s="458"/>
      <c r="Q521" s="458"/>
      <c r="R521" s="458"/>
      <c r="S521" s="458"/>
      <c r="T521" s="458"/>
      <c r="U521" s="458"/>
      <c r="V521" s="458"/>
      <c r="W521" s="458"/>
    </row>
    <row r="522" spans="1:23" ht="15.75" customHeight="1">
      <c r="A522" s="458"/>
      <c r="B522" s="458"/>
      <c r="C522" s="458"/>
      <c r="D522" s="458"/>
      <c r="E522" s="458"/>
      <c r="F522" s="458"/>
      <c r="G522" s="458"/>
      <c r="H522" s="458"/>
      <c r="I522" s="458"/>
      <c r="J522" s="458"/>
      <c r="K522" s="458"/>
      <c r="L522" s="458"/>
      <c r="M522" s="458"/>
      <c r="N522" s="458"/>
      <c r="O522" s="458"/>
      <c r="P522" s="458"/>
      <c r="Q522" s="458"/>
      <c r="R522" s="458"/>
      <c r="S522" s="458"/>
      <c r="T522" s="458"/>
      <c r="U522" s="458"/>
      <c r="V522" s="458"/>
      <c r="W522" s="458"/>
    </row>
    <row r="523" spans="1:23" ht="15.75" customHeight="1">
      <c r="A523" s="458"/>
      <c r="B523" s="458"/>
      <c r="C523" s="458"/>
      <c r="D523" s="458"/>
      <c r="E523" s="458"/>
      <c r="F523" s="458"/>
      <c r="G523" s="458"/>
      <c r="H523" s="458"/>
      <c r="I523" s="458"/>
      <c r="J523" s="458"/>
      <c r="K523" s="458"/>
      <c r="L523" s="458"/>
      <c r="M523" s="458"/>
      <c r="N523" s="458"/>
      <c r="O523" s="458"/>
      <c r="P523" s="458"/>
      <c r="Q523" s="458"/>
      <c r="R523" s="458"/>
      <c r="S523" s="458"/>
      <c r="T523" s="458"/>
      <c r="U523" s="458"/>
      <c r="V523" s="458"/>
      <c r="W523" s="458"/>
    </row>
    <row r="524" spans="1:23" ht="15.75" customHeight="1">
      <c r="A524" s="458"/>
      <c r="B524" s="458"/>
      <c r="C524" s="458"/>
      <c r="D524" s="458"/>
      <c r="E524" s="458"/>
      <c r="F524" s="458"/>
      <c r="G524" s="458"/>
      <c r="H524" s="458"/>
      <c r="I524" s="458"/>
      <c r="J524" s="458"/>
      <c r="K524" s="458"/>
      <c r="L524" s="458"/>
      <c r="M524" s="458"/>
      <c r="N524" s="458"/>
      <c r="O524" s="458"/>
      <c r="P524" s="458"/>
      <c r="Q524" s="458"/>
      <c r="R524" s="458"/>
      <c r="S524" s="458"/>
      <c r="T524" s="458"/>
      <c r="U524" s="458"/>
      <c r="V524" s="458"/>
      <c r="W524" s="458"/>
    </row>
    <row r="525" spans="1:23" ht="15.75" customHeight="1">
      <c r="A525" s="458"/>
      <c r="B525" s="458"/>
      <c r="C525" s="458"/>
      <c r="D525" s="458"/>
      <c r="E525" s="458"/>
      <c r="F525" s="458"/>
      <c r="G525" s="458"/>
      <c r="H525" s="458"/>
      <c r="I525" s="458"/>
      <c r="J525" s="458"/>
      <c r="K525" s="458"/>
      <c r="L525" s="458"/>
      <c r="M525" s="458"/>
      <c r="N525" s="458"/>
      <c r="O525" s="458"/>
      <c r="P525" s="458"/>
      <c r="Q525" s="458"/>
      <c r="R525" s="458"/>
      <c r="S525" s="458"/>
      <c r="T525" s="458"/>
      <c r="U525" s="458"/>
      <c r="V525" s="458"/>
      <c r="W525" s="458"/>
    </row>
    <row r="526" spans="1:23" ht="15.75" customHeight="1">
      <c r="A526" s="458"/>
      <c r="B526" s="458"/>
      <c r="C526" s="458"/>
      <c r="D526" s="458"/>
      <c r="E526" s="458"/>
      <c r="F526" s="458"/>
      <c r="G526" s="458"/>
      <c r="H526" s="458"/>
      <c r="I526" s="458"/>
      <c r="J526" s="458"/>
      <c r="K526" s="458"/>
      <c r="L526" s="458"/>
      <c r="M526" s="458"/>
      <c r="N526" s="458"/>
      <c r="O526" s="458"/>
      <c r="P526" s="458"/>
      <c r="Q526" s="458"/>
      <c r="R526" s="458"/>
      <c r="S526" s="458"/>
      <c r="T526" s="458"/>
      <c r="U526" s="458"/>
      <c r="V526" s="458"/>
      <c r="W526" s="458"/>
    </row>
    <row r="527" spans="1:23" ht="15.75" customHeight="1">
      <c r="A527" s="458"/>
      <c r="B527" s="458"/>
      <c r="C527" s="458"/>
      <c r="D527" s="458"/>
      <c r="E527" s="458"/>
      <c r="F527" s="458"/>
      <c r="G527" s="458"/>
      <c r="H527" s="458"/>
      <c r="I527" s="458"/>
      <c r="J527" s="458"/>
      <c r="K527" s="458"/>
      <c r="L527" s="458"/>
      <c r="M527" s="458"/>
      <c r="N527" s="458"/>
      <c r="O527" s="458"/>
      <c r="P527" s="458"/>
      <c r="Q527" s="458"/>
      <c r="R527" s="458"/>
      <c r="S527" s="458"/>
      <c r="T527" s="458"/>
      <c r="U527" s="458"/>
      <c r="V527" s="458"/>
      <c r="W527" s="458"/>
    </row>
    <row r="528" spans="1:23" ht="15.75" customHeight="1">
      <c r="A528" s="458"/>
      <c r="B528" s="458"/>
      <c r="C528" s="458"/>
      <c r="D528" s="458"/>
      <c r="E528" s="458"/>
      <c r="F528" s="458"/>
      <c r="G528" s="458"/>
      <c r="H528" s="458"/>
      <c r="I528" s="458"/>
      <c r="J528" s="458"/>
      <c r="K528" s="458"/>
      <c r="L528" s="458"/>
      <c r="M528" s="458"/>
      <c r="N528" s="458"/>
      <c r="O528" s="458"/>
      <c r="P528" s="458"/>
      <c r="Q528" s="458"/>
      <c r="R528" s="458"/>
      <c r="S528" s="458"/>
      <c r="T528" s="458"/>
      <c r="U528" s="458"/>
      <c r="V528" s="458"/>
      <c r="W528" s="458"/>
    </row>
    <row r="529" spans="1:23" ht="15.75" customHeight="1">
      <c r="A529" s="458"/>
      <c r="B529" s="458"/>
      <c r="C529" s="458"/>
      <c r="D529" s="458"/>
      <c r="E529" s="458"/>
      <c r="F529" s="458"/>
      <c r="G529" s="458"/>
      <c r="H529" s="458"/>
      <c r="I529" s="458"/>
      <c r="J529" s="458"/>
      <c r="K529" s="458"/>
      <c r="L529" s="458"/>
      <c r="M529" s="458"/>
      <c r="N529" s="458"/>
      <c r="O529" s="458"/>
      <c r="P529" s="458"/>
      <c r="Q529" s="458"/>
      <c r="R529" s="458"/>
      <c r="S529" s="458"/>
      <c r="T529" s="458"/>
      <c r="U529" s="458"/>
      <c r="V529" s="458"/>
      <c r="W529" s="458"/>
    </row>
    <row r="530" spans="1:23" ht="15.75" customHeight="1">
      <c r="A530" s="458"/>
      <c r="B530" s="458"/>
      <c r="C530" s="458"/>
      <c r="D530" s="458"/>
      <c r="E530" s="458"/>
      <c r="F530" s="458"/>
      <c r="G530" s="458"/>
      <c r="H530" s="458"/>
      <c r="I530" s="458"/>
      <c r="J530" s="458"/>
      <c r="K530" s="458"/>
      <c r="L530" s="458"/>
      <c r="M530" s="458"/>
      <c r="N530" s="458"/>
      <c r="O530" s="458"/>
      <c r="P530" s="458"/>
      <c r="Q530" s="458"/>
      <c r="R530" s="458"/>
      <c r="S530" s="458"/>
      <c r="T530" s="458"/>
      <c r="U530" s="458"/>
      <c r="V530" s="458"/>
      <c r="W530" s="458"/>
    </row>
    <row r="531" spans="1:23" ht="15.75" customHeight="1">
      <c r="A531" s="458"/>
      <c r="B531" s="458"/>
      <c r="C531" s="458"/>
      <c r="D531" s="458"/>
      <c r="E531" s="458"/>
      <c r="F531" s="458"/>
      <c r="G531" s="458"/>
      <c r="H531" s="458"/>
      <c r="I531" s="458"/>
      <c r="J531" s="458"/>
      <c r="K531" s="458"/>
      <c r="L531" s="458"/>
      <c r="M531" s="458"/>
      <c r="N531" s="458"/>
      <c r="O531" s="458"/>
      <c r="P531" s="458"/>
      <c r="Q531" s="458"/>
      <c r="R531" s="458"/>
      <c r="S531" s="458"/>
      <c r="T531" s="458"/>
      <c r="U531" s="458"/>
      <c r="V531" s="458"/>
      <c r="W531" s="458"/>
    </row>
    <row r="532" spans="1:23" ht="15.75" customHeight="1">
      <c r="A532" s="458"/>
      <c r="B532" s="458"/>
      <c r="C532" s="458"/>
      <c r="D532" s="458"/>
      <c r="E532" s="458"/>
      <c r="F532" s="458"/>
      <c r="G532" s="458"/>
      <c r="H532" s="458"/>
      <c r="I532" s="458"/>
      <c r="J532" s="458"/>
      <c r="K532" s="458"/>
      <c r="L532" s="458"/>
      <c r="M532" s="458"/>
      <c r="N532" s="458"/>
      <c r="O532" s="458"/>
      <c r="P532" s="458"/>
      <c r="Q532" s="458"/>
      <c r="R532" s="458"/>
      <c r="S532" s="458"/>
      <c r="T532" s="458"/>
      <c r="U532" s="458"/>
      <c r="V532" s="458"/>
      <c r="W532" s="458"/>
    </row>
    <row r="533" spans="1:23" ht="15.75" customHeight="1">
      <c r="A533" s="458"/>
      <c r="B533" s="458"/>
      <c r="C533" s="458"/>
      <c r="D533" s="458"/>
      <c r="E533" s="458"/>
      <c r="F533" s="458"/>
      <c r="G533" s="458"/>
      <c r="H533" s="458"/>
      <c r="I533" s="458"/>
      <c r="J533" s="458"/>
      <c r="K533" s="458"/>
      <c r="L533" s="458"/>
      <c r="M533" s="458"/>
      <c r="N533" s="458"/>
      <c r="O533" s="458"/>
      <c r="P533" s="458"/>
      <c r="Q533" s="458"/>
      <c r="R533" s="458"/>
      <c r="S533" s="458"/>
      <c r="T533" s="458"/>
      <c r="U533" s="458"/>
      <c r="V533" s="458"/>
      <c r="W533" s="458"/>
    </row>
    <row r="534" spans="1:23" ht="15.75" customHeight="1">
      <c r="A534" s="458"/>
      <c r="B534" s="458"/>
      <c r="C534" s="458"/>
      <c r="D534" s="458"/>
      <c r="E534" s="458"/>
      <c r="F534" s="458"/>
      <c r="G534" s="458"/>
      <c r="H534" s="458"/>
      <c r="I534" s="458"/>
      <c r="J534" s="458"/>
      <c r="K534" s="458"/>
      <c r="L534" s="458"/>
      <c r="M534" s="458"/>
      <c r="N534" s="458"/>
      <c r="O534" s="458"/>
      <c r="P534" s="458"/>
      <c r="Q534" s="458"/>
      <c r="R534" s="458"/>
      <c r="S534" s="458"/>
      <c r="T534" s="458"/>
      <c r="U534" s="458"/>
      <c r="V534" s="458"/>
      <c r="W534" s="458"/>
    </row>
    <row r="535" spans="1:23" ht="15.75" customHeight="1">
      <c r="A535" s="458"/>
      <c r="B535" s="458"/>
      <c r="C535" s="458"/>
      <c r="D535" s="458"/>
      <c r="E535" s="458"/>
      <c r="F535" s="458"/>
      <c r="G535" s="458"/>
      <c r="H535" s="458"/>
      <c r="I535" s="458"/>
      <c r="J535" s="458"/>
      <c r="K535" s="458"/>
      <c r="L535" s="458"/>
      <c r="M535" s="458"/>
      <c r="N535" s="458"/>
      <c r="O535" s="458"/>
      <c r="P535" s="458"/>
      <c r="Q535" s="458"/>
      <c r="R535" s="458"/>
      <c r="S535" s="458"/>
      <c r="T535" s="458"/>
      <c r="U535" s="458"/>
      <c r="V535" s="458"/>
      <c r="W535" s="458"/>
    </row>
    <row r="536" spans="1:23" ht="15.75" customHeight="1">
      <c r="A536" s="458"/>
      <c r="B536" s="458"/>
      <c r="C536" s="458"/>
      <c r="D536" s="458"/>
      <c r="E536" s="458"/>
      <c r="F536" s="458"/>
      <c r="G536" s="458"/>
      <c r="H536" s="458"/>
      <c r="I536" s="458"/>
      <c r="J536" s="458"/>
      <c r="K536" s="458"/>
      <c r="L536" s="458"/>
      <c r="M536" s="458"/>
      <c r="N536" s="458"/>
      <c r="O536" s="458"/>
      <c r="P536" s="458"/>
      <c r="Q536" s="458"/>
      <c r="R536" s="458"/>
      <c r="S536" s="458"/>
      <c r="T536" s="458"/>
      <c r="U536" s="458"/>
      <c r="V536" s="458"/>
      <c r="W536" s="458"/>
    </row>
    <row r="537" spans="1:23" ht="15.75" customHeight="1">
      <c r="A537" s="458"/>
      <c r="B537" s="458"/>
      <c r="C537" s="458"/>
      <c r="D537" s="458"/>
      <c r="E537" s="458"/>
      <c r="F537" s="458"/>
      <c r="G537" s="458"/>
      <c r="H537" s="458"/>
      <c r="I537" s="458"/>
      <c r="J537" s="458"/>
      <c r="K537" s="458"/>
      <c r="L537" s="458"/>
      <c r="M537" s="458"/>
      <c r="N537" s="458"/>
      <c r="O537" s="458"/>
      <c r="P537" s="458"/>
      <c r="Q537" s="458"/>
      <c r="R537" s="458"/>
      <c r="S537" s="458"/>
      <c r="T537" s="458"/>
      <c r="U537" s="458"/>
      <c r="V537" s="458"/>
      <c r="W537" s="458"/>
    </row>
    <row r="538" spans="1:23" ht="15.75" customHeight="1">
      <c r="A538" s="458"/>
      <c r="B538" s="458"/>
      <c r="C538" s="458"/>
      <c r="D538" s="458"/>
      <c r="E538" s="458"/>
      <c r="F538" s="458"/>
      <c r="G538" s="458"/>
      <c r="H538" s="458"/>
      <c r="I538" s="458"/>
      <c r="J538" s="458"/>
      <c r="K538" s="458"/>
      <c r="L538" s="458"/>
      <c r="M538" s="458"/>
      <c r="N538" s="458"/>
      <c r="O538" s="458"/>
      <c r="P538" s="458"/>
      <c r="Q538" s="458"/>
      <c r="R538" s="458"/>
      <c r="S538" s="458"/>
      <c r="T538" s="458"/>
      <c r="U538" s="458"/>
      <c r="V538" s="458"/>
      <c r="W538" s="458"/>
    </row>
    <row r="539" spans="1:23" ht="15.75" customHeight="1">
      <c r="A539" s="458"/>
      <c r="B539" s="458"/>
      <c r="C539" s="458"/>
      <c r="D539" s="458"/>
      <c r="E539" s="458"/>
      <c r="F539" s="458"/>
      <c r="G539" s="458"/>
      <c r="H539" s="458"/>
      <c r="I539" s="458"/>
      <c r="J539" s="458"/>
      <c r="K539" s="458"/>
      <c r="L539" s="458"/>
      <c r="M539" s="458"/>
      <c r="N539" s="458"/>
      <c r="O539" s="458"/>
      <c r="P539" s="458"/>
      <c r="Q539" s="458"/>
      <c r="R539" s="458"/>
      <c r="S539" s="458"/>
      <c r="T539" s="458"/>
      <c r="U539" s="458"/>
      <c r="V539" s="458"/>
      <c r="W539" s="458"/>
    </row>
    <row r="540" spans="1:23" ht="15.75" customHeight="1">
      <c r="A540" s="458"/>
      <c r="B540" s="458"/>
      <c r="C540" s="458"/>
      <c r="D540" s="458"/>
      <c r="E540" s="458"/>
      <c r="F540" s="458"/>
      <c r="G540" s="458"/>
      <c r="H540" s="458"/>
      <c r="I540" s="458"/>
      <c r="J540" s="458"/>
      <c r="K540" s="458"/>
      <c r="L540" s="458"/>
      <c r="M540" s="458"/>
      <c r="N540" s="458"/>
      <c r="O540" s="458"/>
      <c r="P540" s="458"/>
      <c r="Q540" s="458"/>
      <c r="R540" s="458"/>
      <c r="S540" s="458"/>
      <c r="T540" s="458"/>
      <c r="U540" s="458"/>
      <c r="V540" s="458"/>
      <c r="W540" s="458"/>
    </row>
    <row r="541" spans="1:23" ht="15.75" customHeight="1">
      <c r="A541" s="458"/>
      <c r="B541" s="458"/>
      <c r="C541" s="458"/>
      <c r="D541" s="458"/>
      <c r="E541" s="458"/>
      <c r="F541" s="458"/>
      <c r="G541" s="458"/>
      <c r="H541" s="458"/>
      <c r="I541" s="458"/>
      <c r="J541" s="458"/>
      <c r="K541" s="458"/>
      <c r="L541" s="458"/>
      <c r="M541" s="458"/>
      <c r="N541" s="458"/>
      <c r="O541" s="458"/>
      <c r="P541" s="458"/>
      <c r="Q541" s="458"/>
      <c r="R541" s="458"/>
      <c r="S541" s="458"/>
      <c r="T541" s="458"/>
      <c r="U541" s="458"/>
      <c r="V541" s="458"/>
      <c r="W541" s="458"/>
    </row>
    <row r="542" spans="1:23" ht="15.75" customHeight="1">
      <c r="A542" s="458"/>
      <c r="B542" s="458"/>
      <c r="C542" s="458"/>
      <c r="D542" s="458"/>
      <c r="E542" s="458"/>
      <c r="F542" s="458"/>
      <c r="G542" s="458"/>
      <c r="H542" s="458"/>
      <c r="I542" s="458"/>
      <c r="J542" s="458"/>
      <c r="K542" s="458"/>
      <c r="L542" s="458"/>
      <c r="M542" s="458"/>
      <c r="N542" s="458"/>
      <c r="O542" s="458"/>
      <c r="P542" s="458"/>
      <c r="Q542" s="458"/>
      <c r="R542" s="458"/>
      <c r="S542" s="458"/>
      <c r="T542" s="458"/>
      <c r="U542" s="458"/>
      <c r="V542" s="458"/>
      <c r="W542" s="458"/>
    </row>
    <row r="543" spans="1:23" ht="15.75" customHeight="1">
      <c r="A543" s="458"/>
      <c r="B543" s="458"/>
      <c r="C543" s="458"/>
      <c r="D543" s="458"/>
      <c r="E543" s="458"/>
      <c r="F543" s="458"/>
      <c r="G543" s="458"/>
      <c r="H543" s="458"/>
      <c r="I543" s="458"/>
      <c r="J543" s="458"/>
      <c r="K543" s="458"/>
      <c r="L543" s="458"/>
      <c r="M543" s="458"/>
      <c r="N543" s="458"/>
      <c r="O543" s="458"/>
      <c r="P543" s="458"/>
      <c r="Q543" s="458"/>
      <c r="R543" s="458"/>
      <c r="S543" s="458"/>
      <c r="T543" s="458"/>
      <c r="U543" s="458"/>
      <c r="V543" s="458"/>
      <c r="W543" s="458"/>
    </row>
    <row r="544" spans="1:23" ht="15.75" customHeight="1">
      <c r="A544" s="458"/>
      <c r="B544" s="458"/>
      <c r="C544" s="458"/>
      <c r="D544" s="458"/>
      <c r="E544" s="458"/>
      <c r="F544" s="458"/>
      <c r="G544" s="458"/>
      <c r="H544" s="458"/>
      <c r="I544" s="458"/>
      <c r="J544" s="458"/>
      <c r="K544" s="458"/>
      <c r="L544" s="458"/>
      <c r="M544" s="458"/>
      <c r="N544" s="458"/>
      <c r="O544" s="458"/>
      <c r="P544" s="458"/>
      <c r="Q544" s="458"/>
      <c r="R544" s="458"/>
      <c r="S544" s="458"/>
      <c r="T544" s="458"/>
      <c r="U544" s="458"/>
      <c r="V544" s="458"/>
      <c r="W544" s="458"/>
    </row>
    <row r="545" spans="1:23" ht="15.75" customHeight="1">
      <c r="A545" s="458"/>
      <c r="B545" s="458"/>
      <c r="C545" s="458"/>
      <c r="D545" s="458"/>
      <c r="E545" s="458"/>
      <c r="F545" s="458"/>
      <c r="G545" s="458"/>
      <c r="H545" s="458"/>
      <c r="I545" s="458"/>
      <c r="J545" s="458"/>
      <c r="K545" s="458"/>
      <c r="L545" s="458"/>
      <c r="M545" s="458"/>
      <c r="N545" s="458"/>
      <c r="O545" s="458"/>
      <c r="P545" s="458"/>
      <c r="Q545" s="458"/>
      <c r="R545" s="458"/>
      <c r="S545" s="458"/>
      <c r="T545" s="458"/>
      <c r="U545" s="458"/>
      <c r="V545" s="458"/>
      <c r="W545" s="458"/>
    </row>
    <row r="546" spans="1:23" ht="15.75" customHeight="1">
      <c r="A546" s="458"/>
      <c r="B546" s="458"/>
      <c r="C546" s="458"/>
      <c r="D546" s="458"/>
      <c r="E546" s="458"/>
      <c r="F546" s="458"/>
      <c r="G546" s="458"/>
      <c r="H546" s="458"/>
      <c r="I546" s="458"/>
      <c r="J546" s="458"/>
      <c r="K546" s="458"/>
      <c r="L546" s="458"/>
      <c r="M546" s="458"/>
      <c r="N546" s="458"/>
      <c r="O546" s="458"/>
      <c r="P546" s="458"/>
      <c r="Q546" s="458"/>
      <c r="R546" s="458"/>
      <c r="S546" s="458"/>
      <c r="T546" s="458"/>
      <c r="U546" s="458"/>
      <c r="V546" s="458"/>
      <c r="W546" s="458"/>
    </row>
    <row r="547" spans="1:23" ht="15.75" customHeight="1">
      <c r="A547" s="458"/>
      <c r="B547" s="458"/>
      <c r="C547" s="458"/>
      <c r="D547" s="458"/>
      <c r="E547" s="458"/>
      <c r="F547" s="458"/>
      <c r="G547" s="458"/>
      <c r="H547" s="458"/>
      <c r="I547" s="458"/>
      <c r="J547" s="458"/>
      <c r="K547" s="458"/>
      <c r="L547" s="458"/>
      <c r="M547" s="458"/>
      <c r="N547" s="458"/>
      <c r="O547" s="458"/>
      <c r="P547" s="458"/>
      <c r="Q547" s="458"/>
      <c r="R547" s="458"/>
      <c r="S547" s="458"/>
      <c r="T547" s="458"/>
      <c r="U547" s="458"/>
      <c r="V547" s="458"/>
      <c r="W547" s="458"/>
    </row>
    <row r="548" spans="1:23" ht="15.75" customHeight="1">
      <c r="A548" s="458"/>
      <c r="B548" s="458"/>
      <c r="C548" s="458"/>
      <c r="D548" s="458"/>
      <c r="E548" s="458"/>
      <c r="F548" s="458"/>
      <c r="G548" s="458"/>
      <c r="H548" s="458"/>
      <c r="I548" s="458"/>
      <c r="J548" s="458"/>
      <c r="K548" s="458"/>
      <c r="L548" s="458"/>
      <c r="M548" s="458"/>
      <c r="N548" s="458"/>
      <c r="O548" s="458"/>
      <c r="P548" s="458"/>
      <c r="Q548" s="458"/>
      <c r="R548" s="458"/>
      <c r="S548" s="458"/>
      <c r="T548" s="458"/>
      <c r="U548" s="458"/>
      <c r="V548" s="458"/>
      <c r="W548" s="458"/>
    </row>
    <row r="549" spans="1:23" ht="15.75" customHeight="1">
      <c r="A549" s="458"/>
      <c r="B549" s="458"/>
      <c r="C549" s="458"/>
      <c r="D549" s="458"/>
      <c r="E549" s="458"/>
      <c r="F549" s="458"/>
      <c r="G549" s="458"/>
      <c r="H549" s="458"/>
      <c r="I549" s="458"/>
      <c r="J549" s="458"/>
      <c r="K549" s="458"/>
      <c r="L549" s="458"/>
      <c r="M549" s="458"/>
      <c r="N549" s="458"/>
      <c r="O549" s="458"/>
      <c r="P549" s="458"/>
      <c r="Q549" s="458"/>
      <c r="R549" s="458"/>
      <c r="S549" s="458"/>
      <c r="T549" s="458"/>
      <c r="U549" s="458"/>
      <c r="V549" s="458"/>
      <c r="W549" s="458"/>
    </row>
    <row r="550" spans="1:23" ht="15.75" customHeight="1">
      <c r="A550" s="458"/>
      <c r="B550" s="458"/>
      <c r="C550" s="458"/>
      <c r="D550" s="458"/>
      <c r="E550" s="458"/>
      <c r="F550" s="458"/>
      <c r="G550" s="458"/>
      <c r="H550" s="458"/>
      <c r="I550" s="458"/>
      <c r="J550" s="458"/>
      <c r="K550" s="458"/>
      <c r="L550" s="458"/>
      <c r="M550" s="458"/>
      <c r="N550" s="458"/>
      <c r="O550" s="458"/>
      <c r="P550" s="458"/>
      <c r="Q550" s="458"/>
      <c r="R550" s="458"/>
      <c r="S550" s="458"/>
      <c r="T550" s="458"/>
      <c r="U550" s="458"/>
      <c r="V550" s="458"/>
      <c r="W550" s="458"/>
    </row>
    <row r="551" spans="1:23" ht="15.75" customHeight="1">
      <c r="A551" s="458"/>
      <c r="B551" s="458"/>
      <c r="C551" s="458"/>
      <c r="D551" s="458"/>
      <c r="E551" s="458"/>
      <c r="F551" s="458"/>
      <c r="G551" s="458"/>
      <c r="H551" s="458"/>
      <c r="I551" s="458"/>
      <c r="J551" s="458"/>
      <c r="K551" s="458"/>
      <c r="L551" s="458"/>
      <c r="M551" s="458"/>
      <c r="N551" s="458"/>
      <c r="O551" s="458"/>
      <c r="P551" s="458"/>
      <c r="Q551" s="458"/>
      <c r="R551" s="458"/>
      <c r="S551" s="458"/>
      <c r="T551" s="458"/>
      <c r="U551" s="458"/>
      <c r="V551" s="458"/>
      <c r="W551" s="458"/>
    </row>
    <row r="552" spans="1:23" ht="15.75" customHeight="1">
      <c r="A552" s="458"/>
      <c r="B552" s="458"/>
      <c r="C552" s="458"/>
      <c r="D552" s="458"/>
      <c r="E552" s="458"/>
      <c r="F552" s="458"/>
      <c r="G552" s="458"/>
      <c r="H552" s="458"/>
      <c r="I552" s="458"/>
      <c r="J552" s="458"/>
      <c r="K552" s="458"/>
      <c r="L552" s="458"/>
      <c r="M552" s="458"/>
      <c r="N552" s="458"/>
      <c r="O552" s="458"/>
      <c r="P552" s="458"/>
      <c r="Q552" s="458"/>
      <c r="R552" s="458"/>
      <c r="S552" s="458"/>
      <c r="T552" s="458"/>
      <c r="U552" s="458"/>
      <c r="V552" s="458"/>
      <c r="W552" s="458"/>
    </row>
    <row r="553" spans="1:23" ht="15.75" customHeight="1">
      <c r="A553" s="458"/>
      <c r="B553" s="458"/>
      <c r="C553" s="458"/>
      <c r="D553" s="458"/>
      <c r="E553" s="458"/>
      <c r="F553" s="458"/>
      <c r="G553" s="458"/>
      <c r="H553" s="458"/>
      <c r="I553" s="458"/>
      <c r="J553" s="458"/>
      <c r="K553" s="458"/>
      <c r="L553" s="458"/>
      <c r="M553" s="458"/>
      <c r="N553" s="458"/>
      <c r="O553" s="458"/>
      <c r="P553" s="458"/>
      <c r="Q553" s="458"/>
      <c r="R553" s="458"/>
      <c r="S553" s="458"/>
      <c r="T553" s="458"/>
      <c r="U553" s="458"/>
      <c r="V553" s="458"/>
      <c r="W553" s="458"/>
    </row>
    <row r="554" spans="1:23" ht="15.75" customHeight="1">
      <c r="A554" s="458"/>
      <c r="B554" s="458"/>
      <c r="C554" s="458"/>
      <c r="D554" s="458"/>
      <c r="E554" s="458"/>
      <c r="F554" s="458"/>
      <c r="G554" s="458"/>
      <c r="H554" s="458"/>
      <c r="I554" s="458"/>
      <c r="J554" s="458"/>
      <c r="K554" s="458"/>
      <c r="L554" s="458"/>
      <c r="M554" s="458"/>
      <c r="N554" s="458"/>
      <c r="O554" s="458"/>
      <c r="P554" s="458"/>
      <c r="Q554" s="458"/>
      <c r="R554" s="458"/>
      <c r="S554" s="458"/>
      <c r="T554" s="458"/>
      <c r="U554" s="458"/>
      <c r="V554" s="458"/>
      <c r="W554" s="458"/>
    </row>
    <row r="555" spans="1:23" ht="15.75" customHeight="1">
      <c r="A555" s="458"/>
      <c r="B555" s="458"/>
      <c r="C555" s="458"/>
      <c r="D555" s="458"/>
      <c r="E555" s="458"/>
      <c r="F555" s="458"/>
      <c r="G555" s="458"/>
      <c r="H555" s="458"/>
      <c r="I555" s="458"/>
      <c r="J555" s="458"/>
      <c r="K555" s="458"/>
      <c r="L555" s="458"/>
      <c r="M555" s="458"/>
      <c r="N555" s="458"/>
      <c r="O555" s="458"/>
      <c r="P555" s="458"/>
      <c r="Q555" s="458"/>
      <c r="R555" s="458"/>
      <c r="S555" s="458"/>
      <c r="T555" s="458"/>
      <c r="U555" s="458"/>
      <c r="V555" s="458"/>
      <c r="W555" s="458"/>
    </row>
    <row r="556" spans="1:23" ht="15.75" customHeight="1">
      <c r="A556" s="458"/>
      <c r="B556" s="458"/>
      <c r="C556" s="458"/>
      <c r="D556" s="458"/>
      <c r="E556" s="458"/>
      <c r="F556" s="458"/>
      <c r="G556" s="458"/>
      <c r="H556" s="458"/>
      <c r="I556" s="458"/>
      <c r="J556" s="458"/>
      <c r="K556" s="458"/>
      <c r="L556" s="458"/>
      <c r="M556" s="458"/>
      <c r="N556" s="458"/>
      <c r="O556" s="458"/>
      <c r="P556" s="458"/>
      <c r="Q556" s="458"/>
      <c r="R556" s="458"/>
      <c r="S556" s="458"/>
      <c r="T556" s="458"/>
      <c r="U556" s="458"/>
      <c r="V556" s="458"/>
      <c r="W556" s="458"/>
    </row>
    <row r="557" spans="1:23" ht="15.75" customHeight="1">
      <c r="A557" s="458"/>
      <c r="B557" s="458"/>
      <c r="C557" s="458"/>
      <c r="D557" s="458"/>
      <c r="E557" s="458"/>
      <c r="F557" s="458"/>
      <c r="G557" s="458"/>
      <c r="H557" s="458"/>
      <c r="I557" s="458"/>
      <c r="J557" s="458"/>
      <c r="K557" s="458"/>
      <c r="L557" s="458"/>
      <c r="M557" s="458"/>
      <c r="N557" s="458"/>
      <c r="O557" s="458"/>
      <c r="P557" s="458"/>
      <c r="Q557" s="458"/>
      <c r="R557" s="458"/>
      <c r="S557" s="458"/>
      <c r="T557" s="458"/>
      <c r="U557" s="458"/>
      <c r="V557" s="458"/>
      <c r="W557" s="458"/>
    </row>
    <row r="558" spans="1:23" ht="15.75" customHeight="1">
      <c r="A558" s="458"/>
      <c r="B558" s="458"/>
      <c r="C558" s="458"/>
      <c r="D558" s="458"/>
      <c r="E558" s="458"/>
      <c r="F558" s="458"/>
      <c r="G558" s="458"/>
      <c r="H558" s="458"/>
      <c r="I558" s="458"/>
      <c r="J558" s="458"/>
      <c r="K558" s="458"/>
      <c r="L558" s="458"/>
      <c r="M558" s="458"/>
      <c r="N558" s="458"/>
      <c r="O558" s="458"/>
      <c r="P558" s="458"/>
      <c r="Q558" s="458"/>
      <c r="R558" s="458"/>
      <c r="S558" s="458"/>
      <c r="T558" s="458"/>
      <c r="U558" s="458"/>
      <c r="V558" s="458"/>
      <c r="W558" s="458"/>
    </row>
    <row r="559" spans="1:23" ht="15.75" customHeight="1">
      <c r="A559" s="458"/>
      <c r="B559" s="458"/>
      <c r="C559" s="458"/>
      <c r="D559" s="458"/>
      <c r="E559" s="458"/>
      <c r="F559" s="458"/>
      <c r="G559" s="458"/>
      <c r="H559" s="458"/>
      <c r="I559" s="458"/>
      <c r="J559" s="458"/>
      <c r="K559" s="458"/>
      <c r="L559" s="458"/>
      <c r="M559" s="458"/>
      <c r="N559" s="458"/>
      <c r="O559" s="458"/>
      <c r="P559" s="458"/>
      <c r="Q559" s="458"/>
      <c r="R559" s="458"/>
      <c r="S559" s="458"/>
      <c r="T559" s="458"/>
      <c r="U559" s="458"/>
      <c r="V559" s="458"/>
      <c r="W559" s="458"/>
    </row>
    <row r="560" spans="1:23" ht="15.75" customHeight="1">
      <c r="A560" s="458"/>
      <c r="B560" s="458"/>
      <c r="C560" s="458"/>
      <c r="D560" s="458"/>
      <c r="E560" s="458"/>
      <c r="F560" s="458"/>
      <c r="G560" s="458"/>
      <c r="H560" s="458"/>
      <c r="I560" s="458"/>
      <c r="J560" s="458"/>
      <c r="K560" s="458"/>
      <c r="L560" s="458"/>
      <c r="M560" s="458"/>
      <c r="N560" s="458"/>
      <c r="O560" s="458"/>
      <c r="P560" s="458"/>
      <c r="Q560" s="458"/>
      <c r="R560" s="458"/>
      <c r="S560" s="458"/>
      <c r="T560" s="458"/>
      <c r="U560" s="458"/>
      <c r="V560" s="458"/>
      <c r="W560" s="458"/>
    </row>
    <row r="561" spans="1:23" ht="15.75" customHeight="1">
      <c r="A561" s="458"/>
      <c r="B561" s="458"/>
      <c r="C561" s="458"/>
      <c r="D561" s="458"/>
      <c r="E561" s="458"/>
      <c r="F561" s="458"/>
      <c r="G561" s="458"/>
      <c r="H561" s="458"/>
      <c r="I561" s="458"/>
      <c r="J561" s="458"/>
      <c r="K561" s="458"/>
      <c r="L561" s="458"/>
      <c r="M561" s="458"/>
      <c r="N561" s="458"/>
      <c r="O561" s="458"/>
      <c r="P561" s="458"/>
      <c r="Q561" s="458"/>
      <c r="R561" s="458"/>
      <c r="S561" s="458"/>
      <c r="T561" s="458"/>
      <c r="U561" s="458"/>
      <c r="V561" s="458"/>
      <c r="W561" s="458"/>
    </row>
    <row r="562" spans="1:23" ht="15.75" customHeight="1">
      <c r="A562" s="458"/>
      <c r="B562" s="458"/>
      <c r="C562" s="458"/>
      <c r="D562" s="458"/>
      <c r="E562" s="458"/>
      <c r="F562" s="458"/>
      <c r="G562" s="458"/>
      <c r="H562" s="458"/>
      <c r="I562" s="458"/>
      <c r="J562" s="458"/>
      <c r="K562" s="458"/>
      <c r="L562" s="458"/>
      <c r="M562" s="458"/>
      <c r="N562" s="458"/>
      <c r="O562" s="458"/>
      <c r="P562" s="458"/>
      <c r="Q562" s="458"/>
      <c r="R562" s="458"/>
      <c r="S562" s="458"/>
      <c r="T562" s="458"/>
      <c r="U562" s="458"/>
      <c r="V562" s="458"/>
      <c r="W562" s="458"/>
    </row>
    <row r="563" spans="1:23" ht="15.75" customHeight="1">
      <c r="A563" s="458"/>
      <c r="B563" s="458"/>
      <c r="C563" s="458"/>
      <c r="D563" s="458"/>
      <c r="E563" s="458"/>
      <c r="F563" s="458"/>
      <c r="G563" s="458"/>
      <c r="H563" s="458"/>
      <c r="I563" s="458"/>
      <c r="J563" s="458"/>
      <c r="K563" s="458"/>
      <c r="L563" s="458"/>
      <c r="M563" s="458"/>
      <c r="N563" s="458"/>
      <c r="O563" s="458"/>
      <c r="P563" s="458"/>
      <c r="Q563" s="458"/>
      <c r="R563" s="458"/>
      <c r="S563" s="458"/>
      <c r="T563" s="458"/>
      <c r="U563" s="458"/>
      <c r="V563" s="458"/>
      <c r="W563" s="458"/>
    </row>
    <row r="564" spans="1:23" ht="15.75" customHeight="1">
      <c r="A564" s="458"/>
      <c r="B564" s="458"/>
      <c r="C564" s="458"/>
      <c r="D564" s="458"/>
      <c r="E564" s="458"/>
      <c r="F564" s="458"/>
      <c r="G564" s="458"/>
      <c r="H564" s="458"/>
      <c r="I564" s="458"/>
      <c r="J564" s="458"/>
      <c r="K564" s="458"/>
      <c r="L564" s="458"/>
      <c r="M564" s="458"/>
      <c r="N564" s="458"/>
      <c r="O564" s="458"/>
      <c r="P564" s="458"/>
      <c r="Q564" s="458"/>
      <c r="R564" s="458"/>
      <c r="S564" s="458"/>
      <c r="T564" s="458"/>
      <c r="U564" s="458"/>
      <c r="V564" s="458"/>
      <c r="W564" s="458"/>
    </row>
    <row r="565" spans="1:23" ht="15.75" customHeight="1">
      <c r="A565" s="458"/>
      <c r="B565" s="458"/>
      <c r="C565" s="458"/>
      <c r="D565" s="458"/>
      <c r="E565" s="458"/>
      <c r="F565" s="458"/>
      <c r="G565" s="458"/>
      <c r="H565" s="458"/>
      <c r="I565" s="458"/>
      <c r="J565" s="458"/>
      <c r="K565" s="458"/>
      <c r="L565" s="458"/>
      <c r="M565" s="458"/>
      <c r="N565" s="458"/>
      <c r="O565" s="458"/>
      <c r="P565" s="458"/>
      <c r="Q565" s="458"/>
      <c r="R565" s="458"/>
      <c r="S565" s="458"/>
      <c r="T565" s="458"/>
      <c r="U565" s="458"/>
      <c r="V565" s="458"/>
      <c r="W565" s="458"/>
    </row>
    <row r="566" spans="1:23" ht="15.75" customHeight="1">
      <c r="A566" s="458"/>
      <c r="B566" s="458"/>
      <c r="C566" s="458"/>
      <c r="D566" s="458"/>
      <c r="E566" s="458"/>
      <c r="F566" s="458"/>
      <c r="G566" s="458"/>
      <c r="H566" s="458"/>
      <c r="I566" s="458"/>
      <c r="J566" s="458"/>
      <c r="K566" s="458"/>
      <c r="L566" s="458"/>
      <c r="M566" s="458"/>
      <c r="N566" s="458"/>
      <c r="O566" s="458"/>
      <c r="P566" s="458"/>
      <c r="Q566" s="458"/>
      <c r="R566" s="458"/>
      <c r="S566" s="458"/>
      <c r="T566" s="458"/>
      <c r="U566" s="458"/>
      <c r="V566" s="458"/>
      <c r="W566" s="458"/>
    </row>
    <row r="567" spans="1:23" ht="15.75" customHeight="1">
      <c r="A567" s="458"/>
      <c r="B567" s="458"/>
      <c r="C567" s="458"/>
      <c r="D567" s="458"/>
      <c r="E567" s="458"/>
      <c r="F567" s="458"/>
      <c r="G567" s="458"/>
      <c r="H567" s="458"/>
      <c r="I567" s="458"/>
      <c r="J567" s="458"/>
      <c r="K567" s="458"/>
      <c r="L567" s="458"/>
      <c r="M567" s="458"/>
      <c r="N567" s="458"/>
      <c r="O567" s="458"/>
      <c r="P567" s="458"/>
      <c r="Q567" s="458"/>
      <c r="R567" s="458"/>
      <c r="S567" s="458"/>
      <c r="T567" s="458"/>
      <c r="U567" s="458"/>
      <c r="V567" s="458"/>
      <c r="W567" s="458"/>
    </row>
    <row r="568" spans="1:23" ht="15.75" customHeight="1">
      <c r="A568" s="458"/>
      <c r="B568" s="458"/>
      <c r="C568" s="458"/>
      <c r="D568" s="458"/>
      <c r="E568" s="458"/>
      <c r="F568" s="458"/>
      <c r="G568" s="458"/>
      <c r="H568" s="458"/>
      <c r="I568" s="458"/>
      <c r="J568" s="458"/>
      <c r="K568" s="458"/>
      <c r="L568" s="458"/>
      <c r="M568" s="458"/>
      <c r="N568" s="458"/>
      <c r="O568" s="458"/>
      <c r="P568" s="458"/>
      <c r="Q568" s="458"/>
      <c r="R568" s="458"/>
      <c r="S568" s="458"/>
      <c r="T568" s="458"/>
      <c r="U568" s="458"/>
      <c r="V568" s="458"/>
      <c r="W568" s="458"/>
    </row>
    <row r="569" spans="1:23" ht="15.75" customHeight="1">
      <c r="A569" s="458"/>
      <c r="B569" s="458"/>
      <c r="C569" s="458"/>
      <c r="D569" s="458"/>
      <c r="E569" s="458"/>
      <c r="F569" s="458"/>
      <c r="G569" s="458"/>
      <c r="H569" s="458"/>
      <c r="I569" s="458"/>
      <c r="J569" s="458"/>
      <c r="K569" s="458"/>
      <c r="L569" s="458"/>
      <c r="M569" s="458"/>
      <c r="N569" s="458"/>
      <c r="O569" s="458"/>
      <c r="P569" s="458"/>
      <c r="Q569" s="458"/>
      <c r="R569" s="458"/>
      <c r="S569" s="458"/>
      <c r="T569" s="458"/>
      <c r="U569" s="458"/>
      <c r="V569" s="458"/>
      <c r="W569" s="458"/>
    </row>
    <row r="570" spans="1:23" ht="15.75" customHeight="1">
      <c r="A570" s="458"/>
      <c r="B570" s="458"/>
      <c r="C570" s="458"/>
      <c r="D570" s="458"/>
      <c r="E570" s="458"/>
      <c r="F570" s="458"/>
      <c r="G570" s="458"/>
      <c r="H570" s="458"/>
      <c r="I570" s="458"/>
      <c r="J570" s="458"/>
      <c r="K570" s="458"/>
      <c r="L570" s="458"/>
      <c r="M570" s="458"/>
      <c r="N570" s="458"/>
      <c r="O570" s="458"/>
      <c r="P570" s="458"/>
      <c r="Q570" s="458"/>
      <c r="R570" s="458"/>
      <c r="S570" s="458"/>
      <c r="T570" s="458"/>
      <c r="U570" s="458"/>
      <c r="V570" s="458"/>
      <c r="W570" s="458"/>
    </row>
    <row r="571" spans="1:23" ht="15.75" customHeight="1">
      <c r="A571" s="458"/>
      <c r="B571" s="458"/>
      <c r="C571" s="458"/>
      <c r="D571" s="458"/>
      <c r="E571" s="458"/>
      <c r="F571" s="458"/>
      <c r="G571" s="458"/>
      <c r="H571" s="458"/>
      <c r="I571" s="458"/>
      <c r="J571" s="458"/>
      <c r="K571" s="458"/>
      <c r="L571" s="458"/>
      <c r="M571" s="458"/>
      <c r="N571" s="458"/>
      <c r="O571" s="458"/>
      <c r="P571" s="458"/>
      <c r="Q571" s="458"/>
      <c r="R571" s="458"/>
      <c r="S571" s="458"/>
      <c r="T571" s="458"/>
      <c r="U571" s="458"/>
      <c r="V571" s="458"/>
      <c r="W571" s="458"/>
    </row>
    <row r="572" spans="1:23" ht="15.75" customHeight="1">
      <c r="A572" s="458"/>
      <c r="B572" s="458"/>
      <c r="C572" s="458"/>
      <c r="D572" s="458"/>
      <c r="E572" s="458"/>
      <c r="F572" s="458"/>
      <c r="G572" s="458"/>
      <c r="H572" s="458"/>
      <c r="I572" s="458"/>
      <c r="J572" s="458"/>
      <c r="K572" s="458"/>
      <c r="L572" s="458"/>
      <c r="M572" s="458"/>
      <c r="N572" s="458"/>
      <c r="O572" s="458"/>
      <c r="P572" s="458"/>
      <c r="Q572" s="458"/>
      <c r="R572" s="458"/>
      <c r="S572" s="458"/>
      <c r="T572" s="458"/>
      <c r="U572" s="458"/>
      <c r="V572" s="458"/>
      <c r="W572" s="458"/>
    </row>
    <row r="573" spans="1:23" ht="15.75" customHeight="1">
      <c r="A573" s="458"/>
      <c r="B573" s="458"/>
      <c r="C573" s="458"/>
      <c r="D573" s="458"/>
      <c r="E573" s="458"/>
      <c r="F573" s="458"/>
      <c r="G573" s="458"/>
      <c r="H573" s="458"/>
      <c r="I573" s="458"/>
      <c r="J573" s="458"/>
      <c r="K573" s="458"/>
      <c r="L573" s="458"/>
      <c r="M573" s="458"/>
      <c r="N573" s="458"/>
      <c r="O573" s="458"/>
      <c r="P573" s="458"/>
      <c r="Q573" s="458"/>
      <c r="R573" s="458"/>
      <c r="S573" s="458"/>
      <c r="T573" s="458"/>
      <c r="U573" s="458"/>
      <c r="V573" s="458"/>
      <c r="W573" s="458"/>
    </row>
    <row r="574" spans="1:23" ht="15.75" customHeight="1">
      <c r="A574" s="458"/>
      <c r="B574" s="458"/>
      <c r="C574" s="458"/>
      <c r="D574" s="458"/>
      <c r="E574" s="458"/>
      <c r="F574" s="458"/>
      <c r="G574" s="458"/>
      <c r="H574" s="458"/>
      <c r="I574" s="458"/>
      <c r="J574" s="458"/>
      <c r="K574" s="458"/>
      <c r="L574" s="458"/>
      <c r="M574" s="458"/>
      <c r="N574" s="458"/>
      <c r="O574" s="458"/>
      <c r="P574" s="458"/>
      <c r="Q574" s="458"/>
      <c r="R574" s="458"/>
      <c r="S574" s="458"/>
      <c r="T574" s="458"/>
      <c r="U574" s="458"/>
      <c r="V574" s="458"/>
      <c r="W574" s="458"/>
    </row>
    <row r="575" spans="1:23" ht="15.75" customHeight="1">
      <c r="A575" s="458"/>
      <c r="B575" s="458"/>
      <c r="C575" s="458"/>
      <c r="D575" s="458"/>
      <c r="E575" s="458"/>
      <c r="F575" s="458"/>
      <c r="G575" s="458"/>
      <c r="H575" s="458"/>
      <c r="I575" s="458"/>
      <c r="J575" s="458"/>
      <c r="K575" s="458"/>
      <c r="L575" s="458"/>
      <c r="M575" s="458"/>
      <c r="N575" s="458"/>
      <c r="O575" s="458"/>
      <c r="P575" s="458"/>
      <c r="Q575" s="458"/>
      <c r="R575" s="458"/>
      <c r="S575" s="458"/>
      <c r="T575" s="458"/>
      <c r="U575" s="458"/>
      <c r="V575" s="458"/>
      <c r="W575" s="458"/>
    </row>
    <row r="576" spans="1:23" ht="15.75" customHeight="1">
      <c r="A576" s="458"/>
      <c r="B576" s="458"/>
      <c r="C576" s="458"/>
      <c r="D576" s="458"/>
      <c r="E576" s="458"/>
      <c r="F576" s="458"/>
      <c r="G576" s="458"/>
      <c r="H576" s="458"/>
      <c r="I576" s="458"/>
      <c r="J576" s="458"/>
      <c r="K576" s="458"/>
      <c r="L576" s="458"/>
      <c r="M576" s="458"/>
      <c r="N576" s="458"/>
      <c r="O576" s="458"/>
      <c r="P576" s="458"/>
      <c r="Q576" s="458"/>
      <c r="R576" s="458"/>
      <c r="S576" s="458"/>
      <c r="T576" s="458"/>
      <c r="U576" s="458"/>
      <c r="V576" s="458"/>
      <c r="W576" s="458"/>
    </row>
    <row r="577" spans="1:23" ht="15.75" customHeight="1">
      <c r="A577" s="458"/>
      <c r="B577" s="458"/>
      <c r="C577" s="458"/>
      <c r="D577" s="458"/>
      <c r="E577" s="458"/>
      <c r="F577" s="458"/>
      <c r="G577" s="458"/>
      <c r="H577" s="458"/>
      <c r="I577" s="458"/>
      <c r="J577" s="458"/>
      <c r="K577" s="458"/>
      <c r="L577" s="458"/>
      <c r="M577" s="458"/>
      <c r="N577" s="458"/>
      <c r="O577" s="458"/>
      <c r="P577" s="458"/>
      <c r="Q577" s="458"/>
      <c r="R577" s="458"/>
      <c r="S577" s="458"/>
      <c r="T577" s="458"/>
      <c r="U577" s="458"/>
      <c r="V577" s="458"/>
      <c r="W577" s="458"/>
    </row>
    <row r="578" spans="1:23" ht="15.75" customHeight="1">
      <c r="A578" s="458"/>
      <c r="B578" s="458"/>
      <c r="C578" s="458"/>
      <c r="D578" s="458"/>
      <c r="E578" s="458"/>
      <c r="F578" s="458"/>
      <c r="G578" s="458"/>
      <c r="H578" s="458"/>
      <c r="I578" s="458"/>
      <c r="J578" s="458"/>
      <c r="K578" s="458"/>
      <c r="L578" s="458"/>
      <c r="M578" s="458"/>
      <c r="N578" s="458"/>
      <c r="O578" s="458"/>
      <c r="P578" s="458"/>
      <c r="Q578" s="458"/>
      <c r="R578" s="458"/>
      <c r="S578" s="458"/>
      <c r="T578" s="458"/>
      <c r="U578" s="458"/>
      <c r="V578" s="458"/>
      <c r="W578" s="458"/>
    </row>
    <row r="579" spans="1:23" ht="15.75" customHeight="1">
      <c r="A579" s="458"/>
      <c r="B579" s="458"/>
      <c r="C579" s="458"/>
      <c r="D579" s="458"/>
      <c r="E579" s="458"/>
      <c r="F579" s="458"/>
      <c r="G579" s="458"/>
      <c r="H579" s="458"/>
      <c r="I579" s="458"/>
      <c r="J579" s="458"/>
      <c r="K579" s="458"/>
      <c r="L579" s="458"/>
      <c r="M579" s="458"/>
      <c r="N579" s="458"/>
      <c r="O579" s="458"/>
      <c r="P579" s="458"/>
      <c r="Q579" s="458"/>
      <c r="R579" s="458"/>
      <c r="S579" s="458"/>
      <c r="T579" s="458"/>
      <c r="U579" s="458"/>
      <c r="V579" s="458"/>
      <c r="W579" s="458"/>
    </row>
    <row r="580" spans="1:23" ht="15.75" customHeight="1">
      <c r="A580" s="458"/>
      <c r="B580" s="458"/>
      <c r="C580" s="458"/>
      <c r="D580" s="458"/>
      <c r="E580" s="458"/>
      <c r="F580" s="458"/>
      <c r="G580" s="458"/>
      <c r="H580" s="458"/>
      <c r="I580" s="458"/>
      <c r="J580" s="458"/>
      <c r="K580" s="458"/>
      <c r="L580" s="458"/>
      <c r="M580" s="458"/>
      <c r="N580" s="458"/>
      <c r="O580" s="458"/>
      <c r="P580" s="458"/>
      <c r="Q580" s="458"/>
      <c r="R580" s="458"/>
      <c r="S580" s="458"/>
      <c r="T580" s="458"/>
      <c r="U580" s="458"/>
      <c r="V580" s="458"/>
      <c r="W580" s="458"/>
    </row>
    <row r="581" spans="1:23" ht="15.75" customHeight="1">
      <c r="A581" s="458"/>
      <c r="B581" s="458"/>
      <c r="C581" s="458"/>
      <c r="D581" s="458"/>
      <c r="E581" s="458"/>
      <c r="F581" s="458"/>
      <c r="G581" s="458"/>
      <c r="H581" s="458"/>
      <c r="I581" s="458"/>
      <c r="J581" s="458"/>
      <c r="K581" s="458"/>
      <c r="L581" s="458"/>
      <c r="M581" s="458"/>
      <c r="N581" s="458"/>
      <c r="O581" s="458"/>
      <c r="P581" s="458"/>
      <c r="Q581" s="458"/>
      <c r="R581" s="458"/>
      <c r="S581" s="458"/>
      <c r="T581" s="458"/>
      <c r="U581" s="458"/>
      <c r="V581" s="458"/>
      <c r="W581" s="458"/>
    </row>
    <row r="582" spans="1:23" ht="15.75" customHeight="1">
      <c r="A582" s="458"/>
      <c r="B582" s="458"/>
      <c r="C582" s="458"/>
      <c r="D582" s="458"/>
      <c r="E582" s="458"/>
      <c r="F582" s="458"/>
      <c r="G582" s="458"/>
      <c r="H582" s="458"/>
      <c r="I582" s="458"/>
      <c r="J582" s="458"/>
      <c r="K582" s="458"/>
      <c r="L582" s="458"/>
      <c r="M582" s="458"/>
      <c r="N582" s="458"/>
      <c r="O582" s="458"/>
      <c r="P582" s="458"/>
      <c r="Q582" s="458"/>
      <c r="R582" s="458"/>
      <c r="S582" s="458"/>
      <c r="T582" s="458"/>
      <c r="U582" s="458"/>
      <c r="V582" s="458"/>
      <c r="W582" s="458"/>
    </row>
    <row r="583" spans="1:23" ht="15.75" customHeight="1">
      <c r="A583" s="458"/>
      <c r="B583" s="458"/>
      <c r="C583" s="458"/>
      <c r="D583" s="458"/>
      <c r="E583" s="458"/>
      <c r="F583" s="458"/>
      <c r="G583" s="458"/>
      <c r="H583" s="458"/>
      <c r="I583" s="458"/>
      <c r="J583" s="458"/>
      <c r="K583" s="458"/>
      <c r="L583" s="458"/>
      <c r="M583" s="458"/>
      <c r="N583" s="458"/>
      <c r="O583" s="458"/>
      <c r="P583" s="458"/>
      <c r="Q583" s="458"/>
      <c r="R583" s="458"/>
      <c r="S583" s="458"/>
      <c r="T583" s="458"/>
      <c r="U583" s="458"/>
      <c r="V583" s="458"/>
      <c r="W583" s="458"/>
    </row>
    <row r="584" spans="1:23" ht="15.75" customHeight="1">
      <c r="A584" s="458"/>
      <c r="B584" s="458"/>
      <c r="C584" s="458"/>
      <c r="D584" s="458"/>
      <c r="E584" s="458"/>
      <c r="F584" s="458"/>
      <c r="G584" s="458"/>
      <c r="H584" s="458"/>
      <c r="I584" s="458"/>
      <c r="J584" s="458"/>
      <c r="K584" s="458"/>
      <c r="L584" s="458"/>
      <c r="M584" s="458"/>
      <c r="N584" s="458"/>
      <c r="O584" s="458"/>
      <c r="P584" s="458"/>
      <c r="Q584" s="458"/>
      <c r="R584" s="458"/>
      <c r="S584" s="458"/>
      <c r="T584" s="458"/>
      <c r="U584" s="458"/>
      <c r="V584" s="458"/>
      <c r="W584" s="458"/>
    </row>
    <row r="585" spans="1:23" ht="15.75" customHeight="1">
      <c r="A585" s="458"/>
      <c r="B585" s="458"/>
      <c r="C585" s="458"/>
      <c r="D585" s="458"/>
      <c r="E585" s="458"/>
      <c r="F585" s="458"/>
      <c r="G585" s="458"/>
      <c r="H585" s="458"/>
      <c r="I585" s="458"/>
      <c r="J585" s="458"/>
      <c r="K585" s="458"/>
      <c r="L585" s="458"/>
      <c r="M585" s="458"/>
      <c r="N585" s="458"/>
      <c r="O585" s="458"/>
      <c r="P585" s="458"/>
      <c r="Q585" s="458"/>
      <c r="R585" s="458"/>
      <c r="S585" s="458"/>
      <c r="T585" s="458"/>
      <c r="U585" s="458"/>
      <c r="V585" s="458"/>
      <c r="W585" s="458"/>
    </row>
    <row r="586" spans="1:23" ht="15.75" customHeight="1">
      <c r="A586" s="458"/>
      <c r="B586" s="458"/>
      <c r="C586" s="458"/>
      <c r="D586" s="458"/>
      <c r="E586" s="458"/>
      <c r="F586" s="458"/>
      <c r="G586" s="458"/>
      <c r="H586" s="458"/>
      <c r="I586" s="458"/>
      <c r="J586" s="458"/>
      <c r="K586" s="458"/>
      <c r="L586" s="458"/>
      <c r="M586" s="458"/>
      <c r="N586" s="458"/>
      <c r="O586" s="458"/>
      <c r="P586" s="458"/>
      <c r="Q586" s="458"/>
      <c r="R586" s="458"/>
      <c r="S586" s="458"/>
      <c r="T586" s="458"/>
      <c r="U586" s="458"/>
      <c r="V586" s="458"/>
      <c r="W586" s="458"/>
    </row>
    <row r="587" spans="1:23" ht="15.75" customHeight="1">
      <c r="A587" s="458"/>
      <c r="B587" s="458"/>
      <c r="C587" s="458"/>
      <c r="D587" s="458"/>
      <c r="E587" s="458"/>
      <c r="F587" s="458"/>
      <c r="G587" s="458"/>
      <c r="H587" s="458"/>
      <c r="I587" s="458"/>
      <c r="J587" s="458"/>
      <c r="K587" s="458"/>
      <c r="L587" s="458"/>
      <c r="M587" s="458"/>
      <c r="N587" s="458"/>
      <c r="O587" s="458"/>
      <c r="P587" s="458"/>
      <c r="Q587" s="458"/>
      <c r="R587" s="458"/>
      <c r="S587" s="458"/>
      <c r="T587" s="458"/>
      <c r="U587" s="458"/>
      <c r="V587" s="458"/>
      <c r="W587" s="458"/>
    </row>
    <row r="588" spans="1:23" ht="15.75" customHeight="1">
      <c r="A588" s="458"/>
      <c r="B588" s="458"/>
      <c r="C588" s="458"/>
      <c r="D588" s="458"/>
      <c r="E588" s="458"/>
      <c r="F588" s="458"/>
      <c r="G588" s="458"/>
      <c r="H588" s="458"/>
      <c r="I588" s="458"/>
      <c r="J588" s="458"/>
      <c r="K588" s="458"/>
      <c r="L588" s="458"/>
      <c r="M588" s="458"/>
      <c r="N588" s="458"/>
      <c r="O588" s="458"/>
      <c r="P588" s="458"/>
      <c r="Q588" s="458"/>
      <c r="R588" s="458"/>
      <c r="S588" s="458"/>
      <c r="T588" s="458"/>
      <c r="U588" s="458"/>
      <c r="V588" s="458"/>
      <c r="W588" s="458"/>
    </row>
    <row r="589" spans="1:23" ht="15.75" customHeight="1">
      <c r="A589" s="458"/>
      <c r="B589" s="458"/>
      <c r="C589" s="458"/>
      <c r="D589" s="458"/>
      <c r="E589" s="458"/>
      <c r="F589" s="458"/>
      <c r="G589" s="458"/>
      <c r="H589" s="458"/>
      <c r="I589" s="458"/>
      <c r="J589" s="458"/>
      <c r="K589" s="458"/>
      <c r="L589" s="458"/>
      <c r="M589" s="458"/>
      <c r="N589" s="458"/>
      <c r="O589" s="458"/>
      <c r="P589" s="458"/>
      <c r="Q589" s="458"/>
      <c r="R589" s="458"/>
      <c r="S589" s="458"/>
      <c r="T589" s="458"/>
      <c r="U589" s="458"/>
      <c r="V589" s="458"/>
      <c r="W589" s="458"/>
    </row>
    <row r="590" spans="1:23" ht="15.75" customHeight="1">
      <c r="A590" s="458"/>
      <c r="B590" s="458"/>
      <c r="C590" s="458"/>
      <c r="D590" s="458"/>
      <c r="E590" s="458"/>
      <c r="F590" s="458"/>
      <c r="G590" s="458"/>
      <c r="H590" s="458"/>
      <c r="I590" s="458"/>
      <c r="J590" s="458"/>
      <c r="K590" s="458"/>
      <c r="L590" s="458"/>
      <c r="M590" s="458"/>
      <c r="N590" s="458"/>
      <c r="O590" s="458"/>
      <c r="P590" s="458"/>
      <c r="Q590" s="458"/>
      <c r="R590" s="458"/>
      <c r="S590" s="458"/>
      <c r="T590" s="458"/>
      <c r="U590" s="458"/>
      <c r="V590" s="458"/>
      <c r="W590" s="458"/>
    </row>
    <row r="591" spans="1:23" ht="15.75" customHeight="1">
      <c r="A591" s="458"/>
      <c r="B591" s="458"/>
      <c r="C591" s="458"/>
      <c r="D591" s="458"/>
      <c r="E591" s="458"/>
      <c r="F591" s="458"/>
      <c r="G591" s="458"/>
      <c r="H591" s="458"/>
      <c r="I591" s="458"/>
      <c r="J591" s="458"/>
      <c r="K591" s="458"/>
      <c r="L591" s="458"/>
      <c r="M591" s="458"/>
      <c r="N591" s="458"/>
      <c r="O591" s="458"/>
      <c r="P591" s="458"/>
      <c r="Q591" s="458"/>
      <c r="R591" s="458"/>
      <c r="S591" s="458"/>
      <c r="T591" s="458"/>
      <c r="U591" s="458"/>
      <c r="V591" s="458"/>
      <c r="W591" s="458"/>
    </row>
    <row r="592" spans="1:23" ht="15.75" customHeight="1">
      <c r="A592" s="458"/>
      <c r="B592" s="458"/>
      <c r="C592" s="458"/>
      <c r="D592" s="458"/>
      <c r="E592" s="458"/>
      <c r="F592" s="458"/>
      <c r="G592" s="458"/>
      <c r="H592" s="458"/>
      <c r="I592" s="458"/>
      <c r="J592" s="458"/>
      <c r="K592" s="458"/>
      <c r="L592" s="458"/>
      <c r="M592" s="458"/>
      <c r="N592" s="458"/>
      <c r="O592" s="458"/>
      <c r="P592" s="458"/>
      <c r="Q592" s="458"/>
      <c r="R592" s="458"/>
      <c r="S592" s="458"/>
      <c r="T592" s="458"/>
      <c r="U592" s="458"/>
      <c r="V592" s="458"/>
      <c r="W592" s="458"/>
    </row>
    <row r="593" spans="1:23" ht="15.75" customHeight="1">
      <c r="A593" s="458"/>
      <c r="B593" s="458"/>
      <c r="C593" s="458"/>
      <c r="D593" s="458"/>
      <c r="E593" s="458"/>
      <c r="F593" s="458"/>
      <c r="G593" s="458"/>
      <c r="H593" s="458"/>
      <c r="I593" s="458"/>
      <c r="J593" s="458"/>
      <c r="K593" s="458"/>
      <c r="L593" s="458"/>
      <c r="M593" s="458"/>
      <c r="N593" s="458"/>
      <c r="O593" s="458"/>
      <c r="P593" s="458"/>
      <c r="Q593" s="458"/>
      <c r="R593" s="458"/>
      <c r="S593" s="458"/>
      <c r="T593" s="458"/>
      <c r="U593" s="458"/>
      <c r="V593" s="458"/>
      <c r="W593" s="458"/>
    </row>
    <row r="594" spans="1:23" ht="15.75" customHeight="1">
      <c r="A594" s="458"/>
      <c r="B594" s="458"/>
      <c r="C594" s="458"/>
      <c r="D594" s="458"/>
      <c r="E594" s="458"/>
      <c r="F594" s="458"/>
      <c r="G594" s="458"/>
      <c r="H594" s="458"/>
      <c r="I594" s="458"/>
      <c r="J594" s="458"/>
      <c r="K594" s="458"/>
      <c r="L594" s="458"/>
      <c r="M594" s="458"/>
      <c r="N594" s="458"/>
      <c r="O594" s="458"/>
      <c r="P594" s="458"/>
      <c r="Q594" s="458"/>
      <c r="R594" s="458"/>
      <c r="S594" s="458"/>
      <c r="T594" s="458"/>
      <c r="U594" s="458"/>
      <c r="V594" s="458"/>
      <c r="W594" s="458"/>
    </row>
    <row r="595" spans="1:23" ht="15.75" customHeight="1">
      <c r="A595" s="458"/>
      <c r="B595" s="458"/>
      <c r="C595" s="458"/>
      <c r="D595" s="458"/>
      <c r="E595" s="458"/>
      <c r="F595" s="458"/>
      <c r="G595" s="458"/>
      <c r="H595" s="458"/>
      <c r="I595" s="458"/>
      <c r="J595" s="458"/>
      <c r="K595" s="458"/>
      <c r="L595" s="458"/>
      <c r="M595" s="458"/>
      <c r="N595" s="458"/>
      <c r="O595" s="458"/>
      <c r="P595" s="458"/>
      <c r="Q595" s="458"/>
      <c r="R595" s="458"/>
      <c r="S595" s="458"/>
      <c r="T595" s="458"/>
      <c r="U595" s="458"/>
      <c r="V595" s="458"/>
      <c r="W595" s="458"/>
    </row>
    <row r="596" spans="1:23" ht="15.75" customHeight="1">
      <c r="A596" s="458"/>
      <c r="B596" s="458"/>
      <c r="C596" s="458"/>
      <c r="D596" s="458"/>
      <c r="E596" s="458"/>
      <c r="F596" s="458"/>
      <c r="G596" s="458"/>
      <c r="H596" s="458"/>
      <c r="I596" s="458"/>
      <c r="J596" s="458"/>
      <c r="K596" s="458"/>
      <c r="L596" s="458"/>
      <c r="M596" s="458"/>
      <c r="N596" s="458"/>
      <c r="O596" s="458"/>
      <c r="P596" s="458"/>
      <c r="Q596" s="458"/>
      <c r="R596" s="458"/>
      <c r="S596" s="458"/>
      <c r="T596" s="458"/>
      <c r="U596" s="458"/>
      <c r="V596" s="458"/>
      <c r="W596" s="458"/>
    </row>
    <row r="597" spans="1:23" ht="15.75" customHeight="1">
      <c r="A597" s="458"/>
      <c r="B597" s="458"/>
      <c r="C597" s="458"/>
      <c r="D597" s="458"/>
      <c r="E597" s="458"/>
      <c r="F597" s="458"/>
      <c r="G597" s="458"/>
      <c r="H597" s="458"/>
      <c r="I597" s="458"/>
      <c r="J597" s="458"/>
      <c r="K597" s="458"/>
      <c r="L597" s="458"/>
      <c r="M597" s="458"/>
      <c r="N597" s="458"/>
      <c r="O597" s="458"/>
      <c r="P597" s="458"/>
      <c r="Q597" s="458"/>
      <c r="R597" s="458"/>
      <c r="S597" s="458"/>
      <c r="T597" s="458"/>
      <c r="U597" s="458"/>
      <c r="V597" s="458"/>
      <c r="W597" s="458"/>
    </row>
    <row r="598" spans="1:23" ht="15.75" customHeight="1">
      <c r="A598" s="458"/>
      <c r="B598" s="458"/>
      <c r="C598" s="458"/>
      <c r="D598" s="458"/>
      <c r="E598" s="458"/>
      <c r="F598" s="458"/>
      <c r="G598" s="458"/>
      <c r="H598" s="458"/>
      <c r="I598" s="458"/>
      <c r="J598" s="458"/>
      <c r="K598" s="458"/>
      <c r="L598" s="458"/>
      <c r="M598" s="458"/>
      <c r="N598" s="458"/>
      <c r="O598" s="458"/>
      <c r="P598" s="458"/>
      <c r="Q598" s="458"/>
      <c r="R598" s="458"/>
      <c r="S598" s="458"/>
      <c r="T598" s="458"/>
      <c r="U598" s="458"/>
      <c r="V598" s="458"/>
      <c r="W598" s="458"/>
    </row>
    <row r="599" spans="1:23" ht="15.75" customHeight="1">
      <c r="A599" s="458"/>
      <c r="B599" s="458"/>
      <c r="C599" s="458"/>
      <c r="D599" s="458"/>
      <c r="E599" s="458"/>
      <c r="F599" s="458"/>
      <c r="G599" s="458"/>
      <c r="H599" s="458"/>
      <c r="I599" s="458"/>
      <c r="J599" s="458"/>
      <c r="K599" s="458"/>
      <c r="L599" s="458"/>
      <c r="M599" s="458"/>
      <c r="N599" s="458"/>
      <c r="O599" s="458"/>
      <c r="P599" s="458"/>
      <c r="Q599" s="458"/>
      <c r="R599" s="458"/>
      <c r="S599" s="458"/>
      <c r="T599" s="458"/>
      <c r="U599" s="458"/>
      <c r="V599" s="458"/>
      <c r="W599" s="458"/>
    </row>
    <row r="600" spans="1:23" ht="15.75" customHeight="1">
      <c r="A600" s="458"/>
      <c r="B600" s="458"/>
      <c r="C600" s="458"/>
      <c r="D600" s="458"/>
      <c r="E600" s="458"/>
      <c r="F600" s="458"/>
      <c r="G600" s="458"/>
      <c r="H600" s="458"/>
      <c r="I600" s="458"/>
      <c r="J600" s="458"/>
      <c r="K600" s="458"/>
      <c r="L600" s="458"/>
      <c r="M600" s="458"/>
      <c r="N600" s="458"/>
      <c r="O600" s="458"/>
      <c r="P600" s="458"/>
      <c r="Q600" s="458"/>
      <c r="R600" s="458"/>
      <c r="S600" s="458"/>
      <c r="T600" s="458"/>
      <c r="U600" s="458"/>
      <c r="V600" s="458"/>
      <c r="W600" s="458"/>
    </row>
    <row r="601" spans="1:23" ht="15.75" customHeight="1">
      <c r="A601" s="458"/>
      <c r="B601" s="458"/>
      <c r="C601" s="458"/>
      <c r="D601" s="458"/>
      <c r="E601" s="458"/>
      <c r="F601" s="458"/>
      <c r="G601" s="458"/>
      <c r="H601" s="458"/>
      <c r="I601" s="458"/>
      <c r="J601" s="458"/>
      <c r="K601" s="458"/>
      <c r="L601" s="458"/>
      <c r="M601" s="458"/>
      <c r="N601" s="458"/>
      <c r="O601" s="458"/>
      <c r="P601" s="458"/>
      <c r="Q601" s="458"/>
      <c r="R601" s="458"/>
      <c r="S601" s="458"/>
      <c r="T601" s="458"/>
      <c r="U601" s="458"/>
      <c r="V601" s="458"/>
      <c r="W601" s="458"/>
    </row>
    <row r="602" spans="1:23" ht="15.75" customHeight="1">
      <c r="A602" s="458"/>
      <c r="B602" s="458"/>
      <c r="C602" s="458"/>
      <c r="D602" s="458"/>
      <c r="E602" s="458"/>
      <c r="F602" s="458"/>
      <c r="G602" s="458"/>
      <c r="H602" s="458"/>
      <c r="I602" s="458"/>
      <c r="J602" s="458"/>
      <c r="K602" s="458"/>
      <c r="L602" s="458"/>
      <c r="M602" s="458"/>
      <c r="N602" s="458"/>
      <c r="O602" s="458"/>
      <c r="P602" s="458"/>
      <c r="Q602" s="458"/>
      <c r="R602" s="458"/>
      <c r="S602" s="458"/>
      <c r="T602" s="458"/>
      <c r="U602" s="458"/>
      <c r="V602" s="458"/>
      <c r="W602" s="458"/>
    </row>
    <row r="603" spans="1:23" ht="15.75" customHeight="1">
      <c r="A603" s="458"/>
      <c r="B603" s="458"/>
      <c r="C603" s="458"/>
      <c r="D603" s="458"/>
      <c r="E603" s="458"/>
      <c r="F603" s="458"/>
      <c r="G603" s="458"/>
      <c r="H603" s="458"/>
      <c r="I603" s="458"/>
      <c r="J603" s="458"/>
      <c r="K603" s="458"/>
      <c r="L603" s="458"/>
      <c r="M603" s="458"/>
      <c r="N603" s="458"/>
      <c r="O603" s="458"/>
      <c r="P603" s="458"/>
      <c r="Q603" s="458"/>
      <c r="R603" s="458"/>
      <c r="S603" s="458"/>
      <c r="T603" s="458"/>
      <c r="U603" s="458"/>
      <c r="V603" s="458"/>
      <c r="W603" s="458"/>
    </row>
    <row r="604" spans="1:23" ht="15.75" customHeight="1">
      <c r="A604" s="458"/>
      <c r="B604" s="458"/>
      <c r="C604" s="458"/>
      <c r="D604" s="458"/>
      <c r="E604" s="458"/>
      <c r="F604" s="458"/>
      <c r="G604" s="458"/>
      <c r="H604" s="458"/>
      <c r="I604" s="458"/>
      <c r="J604" s="458"/>
      <c r="K604" s="458"/>
      <c r="L604" s="458"/>
      <c r="M604" s="458"/>
      <c r="N604" s="458"/>
      <c r="O604" s="458"/>
      <c r="P604" s="458"/>
      <c r="Q604" s="458"/>
      <c r="R604" s="458"/>
      <c r="S604" s="458"/>
      <c r="T604" s="458"/>
      <c r="U604" s="458"/>
      <c r="V604" s="458"/>
      <c r="W604" s="458"/>
    </row>
    <row r="605" spans="1:23" ht="15.75" customHeight="1">
      <c r="A605" s="458"/>
      <c r="B605" s="458"/>
      <c r="C605" s="458"/>
      <c r="D605" s="458"/>
      <c r="E605" s="458"/>
      <c r="F605" s="458"/>
      <c r="G605" s="458"/>
      <c r="H605" s="458"/>
      <c r="I605" s="458"/>
      <c r="J605" s="458"/>
      <c r="K605" s="458"/>
      <c r="L605" s="458"/>
      <c r="M605" s="458"/>
      <c r="N605" s="458"/>
      <c r="O605" s="458"/>
      <c r="P605" s="458"/>
      <c r="Q605" s="458"/>
      <c r="R605" s="458"/>
      <c r="S605" s="458"/>
      <c r="T605" s="458"/>
      <c r="U605" s="458"/>
      <c r="V605" s="458"/>
      <c r="W605" s="458"/>
    </row>
    <row r="606" spans="1:23" ht="15.75" customHeight="1">
      <c r="A606" s="458"/>
      <c r="B606" s="458"/>
      <c r="C606" s="458"/>
      <c r="D606" s="458"/>
      <c r="E606" s="458"/>
      <c r="F606" s="458"/>
      <c r="G606" s="458"/>
      <c r="H606" s="458"/>
      <c r="I606" s="458"/>
      <c r="J606" s="458"/>
      <c r="K606" s="458"/>
      <c r="L606" s="458"/>
      <c r="M606" s="458"/>
      <c r="N606" s="458"/>
      <c r="O606" s="458"/>
      <c r="P606" s="458"/>
      <c r="Q606" s="458"/>
      <c r="R606" s="458"/>
      <c r="S606" s="458"/>
      <c r="T606" s="458"/>
      <c r="U606" s="458"/>
      <c r="V606" s="458"/>
      <c r="W606" s="458"/>
    </row>
    <row r="607" spans="1:23" ht="15.75" customHeight="1">
      <c r="A607" s="458"/>
      <c r="B607" s="458"/>
      <c r="C607" s="458"/>
      <c r="D607" s="458"/>
      <c r="E607" s="458"/>
      <c r="F607" s="458"/>
      <c r="G607" s="458"/>
      <c r="H607" s="458"/>
      <c r="I607" s="458"/>
      <c r="J607" s="458"/>
      <c r="K607" s="458"/>
      <c r="L607" s="458"/>
      <c r="M607" s="458"/>
      <c r="N607" s="458"/>
      <c r="O607" s="458"/>
      <c r="P607" s="458"/>
      <c r="Q607" s="458"/>
      <c r="R607" s="458"/>
      <c r="S607" s="458"/>
      <c r="T607" s="458"/>
      <c r="U607" s="458"/>
      <c r="V607" s="458"/>
      <c r="W607" s="458"/>
    </row>
    <row r="608" spans="1:23" ht="15.75" customHeight="1">
      <c r="A608" s="458"/>
      <c r="B608" s="458"/>
      <c r="C608" s="458"/>
      <c r="D608" s="458"/>
      <c r="E608" s="458"/>
      <c r="F608" s="458"/>
      <c r="G608" s="458"/>
      <c r="H608" s="458"/>
      <c r="I608" s="458"/>
      <c r="J608" s="458"/>
      <c r="K608" s="458"/>
      <c r="L608" s="458"/>
      <c r="M608" s="458"/>
      <c r="N608" s="458"/>
      <c r="O608" s="458"/>
      <c r="P608" s="458"/>
      <c r="Q608" s="458"/>
      <c r="R608" s="458"/>
      <c r="S608" s="458"/>
      <c r="T608" s="458"/>
      <c r="U608" s="458"/>
      <c r="V608" s="458"/>
      <c r="W608" s="458"/>
    </row>
    <row r="609" spans="1:23" ht="15.75" customHeight="1">
      <c r="A609" s="458"/>
      <c r="B609" s="458"/>
      <c r="C609" s="458"/>
      <c r="D609" s="458"/>
      <c r="E609" s="458"/>
      <c r="F609" s="458"/>
      <c r="G609" s="458"/>
      <c r="H609" s="458"/>
      <c r="I609" s="458"/>
      <c r="J609" s="458"/>
      <c r="K609" s="458"/>
      <c r="L609" s="458"/>
      <c r="M609" s="458"/>
      <c r="N609" s="458"/>
      <c r="O609" s="458"/>
      <c r="P609" s="458"/>
      <c r="Q609" s="458"/>
      <c r="R609" s="458"/>
      <c r="S609" s="458"/>
      <c r="T609" s="458"/>
      <c r="U609" s="458"/>
      <c r="V609" s="458"/>
      <c r="W609" s="458"/>
    </row>
    <row r="610" spans="1:23" ht="15.75" customHeight="1">
      <c r="A610" s="458"/>
      <c r="B610" s="458"/>
      <c r="C610" s="458"/>
      <c r="D610" s="458"/>
      <c r="E610" s="458"/>
      <c r="F610" s="458"/>
      <c r="G610" s="458"/>
      <c r="H610" s="458"/>
      <c r="I610" s="458"/>
      <c r="J610" s="458"/>
      <c r="K610" s="458"/>
      <c r="L610" s="458"/>
      <c r="M610" s="458"/>
      <c r="N610" s="458"/>
      <c r="O610" s="458"/>
      <c r="P610" s="458"/>
      <c r="Q610" s="458"/>
      <c r="R610" s="458"/>
      <c r="S610" s="458"/>
      <c r="T610" s="458"/>
      <c r="U610" s="458"/>
      <c r="V610" s="458"/>
      <c r="W610" s="458"/>
    </row>
    <row r="611" spans="1:23" ht="15.75" customHeight="1">
      <c r="A611" s="458"/>
      <c r="B611" s="458"/>
      <c r="C611" s="458"/>
      <c r="D611" s="458"/>
      <c r="E611" s="458"/>
      <c r="F611" s="458"/>
      <c r="G611" s="458"/>
      <c r="H611" s="458"/>
      <c r="I611" s="458"/>
      <c r="J611" s="458"/>
      <c r="K611" s="458"/>
      <c r="L611" s="458"/>
      <c r="M611" s="458"/>
      <c r="N611" s="458"/>
      <c r="O611" s="458"/>
      <c r="P611" s="458"/>
      <c r="Q611" s="458"/>
      <c r="R611" s="458"/>
      <c r="S611" s="458"/>
      <c r="T611" s="458"/>
      <c r="U611" s="458"/>
      <c r="V611" s="458"/>
      <c r="W611" s="458"/>
    </row>
    <row r="612" spans="1:23" ht="15.75" customHeight="1">
      <c r="A612" s="458"/>
      <c r="B612" s="458"/>
      <c r="C612" s="458"/>
      <c r="D612" s="458"/>
      <c r="E612" s="458"/>
      <c r="F612" s="458"/>
      <c r="G612" s="458"/>
      <c r="H612" s="458"/>
      <c r="I612" s="458"/>
      <c r="J612" s="458"/>
      <c r="K612" s="458"/>
      <c r="L612" s="458"/>
      <c r="M612" s="458"/>
      <c r="N612" s="458"/>
      <c r="O612" s="458"/>
      <c r="P612" s="458"/>
      <c r="Q612" s="458"/>
      <c r="R612" s="458"/>
      <c r="S612" s="458"/>
      <c r="T612" s="458"/>
      <c r="U612" s="458"/>
      <c r="V612" s="458"/>
      <c r="W612" s="458"/>
    </row>
    <row r="613" spans="1:23" ht="15.75" customHeight="1">
      <c r="A613" s="458"/>
      <c r="B613" s="458"/>
      <c r="C613" s="458"/>
      <c r="D613" s="458"/>
      <c r="E613" s="458"/>
      <c r="F613" s="458"/>
      <c r="G613" s="458"/>
      <c r="H613" s="458"/>
      <c r="I613" s="458"/>
      <c r="J613" s="458"/>
      <c r="K613" s="458"/>
      <c r="L613" s="458"/>
      <c r="M613" s="458"/>
      <c r="N613" s="458"/>
      <c r="O613" s="458"/>
      <c r="P613" s="458"/>
      <c r="Q613" s="458"/>
      <c r="R613" s="458"/>
      <c r="S613" s="458"/>
      <c r="T613" s="458"/>
      <c r="U613" s="458"/>
      <c r="V613" s="458"/>
      <c r="W613" s="458"/>
    </row>
    <row r="614" spans="1:23" ht="15.75" customHeight="1">
      <c r="A614" s="458"/>
      <c r="B614" s="458"/>
      <c r="C614" s="458"/>
      <c r="D614" s="458"/>
      <c r="E614" s="458"/>
      <c r="F614" s="458"/>
      <c r="G614" s="458"/>
      <c r="H614" s="458"/>
      <c r="I614" s="458"/>
      <c r="J614" s="458"/>
      <c r="K614" s="458"/>
      <c r="L614" s="458"/>
      <c r="M614" s="458"/>
      <c r="N614" s="458"/>
      <c r="O614" s="458"/>
      <c r="P614" s="458"/>
      <c r="Q614" s="458"/>
      <c r="R614" s="458"/>
      <c r="S614" s="458"/>
      <c r="T614" s="458"/>
      <c r="U614" s="458"/>
      <c r="V614" s="458"/>
      <c r="W614" s="458"/>
    </row>
    <row r="615" spans="1:23" ht="15.75" customHeight="1">
      <c r="A615" s="458"/>
      <c r="B615" s="458"/>
      <c r="C615" s="458"/>
      <c r="D615" s="458"/>
      <c r="E615" s="458"/>
      <c r="F615" s="458"/>
      <c r="G615" s="458"/>
      <c r="H615" s="458"/>
      <c r="I615" s="458"/>
      <c r="J615" s="458"/>
      <c r="K615" s="458"/>
      <c r="L615" s="458"/>
      <c r="M615" s="458"/>
      <c r="N615" s="458"/>
      <c r="O615" s="458"/>
      <c r="P615" s="458"/>
      <c r="Q615" s="458"/>
      <c r="R615" s="458"/>
      <c r="S615" s="458"/>
      <c r="T615" s="458"/>
      <c r="U615" s="458"/>
      <c r="V615" s="458"/>
      <c r="W615" s="458"/>
    </row>
    <row r="616" spans="1:23" ht="15.75" customHeight="1">
      <c r="A616" s="458"/>
      <c r="B616" s="458"/>
      <c r="C616" s="458"/>
      <c r="D616" s="458"/>
      <c r="E616" s="458"/>
      <c r="F616" s="458"/>
      <c r="G616" s="458"/>
      <c r="H616" s="458"/>
      <c r="I616" s="458"/>
      <c r="J616" s="458"/>
      <c r="K616" s="458"/>
      <c r="L616" s="458"/>
      <c r="M616" s="458"/>
      <c r="N616" s="458"/>
      <c r="O616" s="458"/>
      <c r="P616" s="458"/>
      <c r="Q616" s="458"/>
      <c r="R616" s="458"/>
      <c r="S616" s="458"/>
      <c r="T616" s="458"/>
      <c r="U616" s="458"/>
      <c r="V616" s="458"/>
      <c r="W616" s="458"/>
    </row>
    <row r="617" spans="1:23" ht="15.75" customHeight="1">
      <c r="A617" s="458"/>
      <c r="B617" s="458"/>
      <c r="C617" s="458"/>
      <c r="D617" s="458"/>
      <c r="E617" s="458"/>
      <c r="F617" s="458"/>
      <c r="G617" s="458"/>
      <c r="H617" s="458"/>
      <c r="I617" s="458"/>
      <c r="J617" s="458"/>
      <c r="K617" s="458"/>
      <c r="L617" s="458"/>
      <c r="M617" s="458"/>
      <c r="N617" s="458"/>
      <c r="O617" s="458"/>
      <c r="P617" s="458"/>
      <c r="Q617" s="458"/>
      <c r="R617" s="458"/>
      <c r="S617" s="458"/>
      <c r="T617" s="458"/>
      <c r="U617" s="458"/>
      <c r="V617" s="458"/>
      <c r="W617" s="458"/>
    </row>
    <row r="618" spans="1:23" ht="15.75" customHeight="1">
      <c r="A618" s="458"/>
      <c r="B618" s="458"/>
      <c r="C618" s="458"/>
      <c r="D618" s="458"/>
      <c r="E618" s="458"/>
      <c r="F618" s="458"/>
      <c r="G618" s="458"/>
      <c r="H618" s="458"/>
      <c r="I618" s="458"/>
      <c r="J618" s="458"/>
      <c r="K618" s="458"/>
      <c r="L618" s="458"/>
      <c r="M618" s="458"/>
      <c r="N618" s="458"/>
      <c r="O618" s="458"/>
      <c r="P618" s="458"/>
      <c r="Q618" s="458"/>
      <c r="R618" s="458"/>
      <c r="S618" s="458"/>
      <c r="T618" s="458"/>
      <c r="U618" s="458"/>
      <c r="V618" s="458"/>
      <c r="W618" s="458"/>
    </row>
    <row r="619" spans="1:23" ht="15.75" customHeight="1">
      <c r="A619" s="458"/>
      <c r="B619" s="458"/>
      <c r="C619" s="458"/>
      <c r="D619" s="458"/>
      <c r="E619" s="458"/>
      <c r="F619" s="458"/>
      <c r="G619" s="458"/>
      <c r="H619" s="458"/>
      <c r="I619" s="458"/>
      <c r="J619" s="458"/>
      <c r="K619" s="458"/>
      <c r="L619" s="458"/>
      <c r="M619" s="458"/>
      <c r="N619" s="458"/>
      <c r="O619" s="458"/>
      <c r="P619" s="458"/>
      <c r="Q619" s="458"/>
      <c r="R619" s="458"/>
      <c r="S619" s="458"/>
      <c r="T619" s="458"/>
      <c r="U619" s="458"/>
      <c r="V619" s="458"/>
      <c r="W619" s="458"/>
    </row>
    <row r="620" spans="1:23" ht="15.75" customHeight="1">
      <c r="A620" s="458"/>
      <c r="B620" s="458"/>
      <c r="C620" s="458"/>
      <c r="D620" s="458"/>
      <c r="E620" s="458"/>
      <c r="F620" s="458"/>
      <c r="G620" s="458"/>
      <c r="H620" s="458"/>
      <c r="I620" s="458"/>
      <c r="J620" s="458"/>
      <c r="K620" s="458"/>
      <c r="L620" s="458"/>
      <c r="M620" s="458"/>
      <c r="N620" s="458"/>
      <c r="O620" s="458"/>
      <c r="P620" s="458"/>
      <c r="Q620" s="458"/>
      <c r="R620" s="458"/>
      <c r="S620" s="458"/>
      <c r="T620" s="458"/>
      <c r="U620" s="458"/>
      <c r="V620" s="458"/>
      <c r="W620" s="458"/>
    </row>
    <row r="621" spans="1:23" ht="15.75" customHeight="1">
      <c r="A621" s="458"/>
      <c r="B621" s="458"/>
      <c r="C621" s="458"/>
      <c r="D621" s="458"/>
      <c r="E621" s="458"/>
      <c r="F621" s="458"/>
      <c r="G621" s="458"/>
      <c r="H621" s="458"/>
      <c r="I621" s="458"/>
      <c r="J621" s="458"/>
      <c r="K621" s="458"/>
      <c r="L621" s="458"/>
      <c r="M621" s="458"/>
      <c r="N621" s="458"/>
      <c r="O621" s="458"/>
      <c r="P621" s="458"/>
      <c r="Q621" s="458"/>
      <c r="R621" s="458"/>
      <c r="S621" s="458"/>
      <c r="T621" s="458"/>
      <c r="U621" s="458"/>
      <c r="V621" s="458"/>
      <c r="W621" s="458"/>
    </row>
    <row r="622" spans="1:23" ht="15.75" customHeight="1">
      <c r="A622" s="458"/>
      <c r="B622" s="458"/>
      <c r="C622" s="458"/>
      <c r="D622" s="458"/>
      <c r="E622" s="458"/>
      <c r="F622" s="458"/>
      <c r="G622" s="458"/>
      <c r="H622" s="458"/>
      <c r="I622" s="458"/>
      <c r="J622" s="458"/>
      <c r="K622" s="458"/>
      <c r="L622" s="458"/>
      <c r="M622" s="458"/>
      <c r="N622" s="458"/>
      <c r="O622" s="458"/>
      <c r="P622" s="458"/>
      <c r="Q622" s="458"/>
      <c r="R622" s="458"/>
      <c r="S622" s="458"/>
      <c r="T622" s="458"/>
      <c r="U622" s="458"/>
      <c r="V622" s="458"/>
      <c r="W622" s="458"/>
    </row>
    <row r="623" spans="1:23" ht="15.75" customHeight="1">
      <c r="A623" s="458"/>
      <c r="B623" s="458"/>
      <c r="C623" s="458"/>
      <c r="D623" s="458"/>
      <c r="E623" s="458"/>
      <c r="F623" s="458"/>
      <c r="G623" s="458"/>
      <c r="H623" s="458"/>
      <c r="I623" s="458"/>
      <c r="J623" s="458"/>
      <c r="K623" s="458"/>
      <c r="L623" s="458"/>
      <c r="M623" s="458"/>
      <c r="N623" s="458"/>
      <c r="O623" s="458"/>
      <c r="P623" s="458"/>
      <c r="Q623" s="458"/>
      <c r="R623" s="458"/>
      <c r="S623" s="458"/>
      <c r="T623" s="458"/>
      <c r="U623" s="458"/>
      <c r="V623" s="458"/>
      <c r="W623" s="458"/>
    </row>
    <row r="624" spans="1:23" ht="15.75" customHeight="1">
      <c r="A624" s="458"/>
      <c r="B624" s="458"/>
      <c r="C624" s="458"/>
      <c r="D624" s="458"/>
      <c r="E624" s="458"/>
      <c r="F624" s="458"/>
      <c r="G624" s="458"/>
      <c r="H624" s="458"/>
      <c r="I624" s="458"/>
      <c r="J624" s="458"/>
      <c r="K624" s="458"/>
      <c r="L624" s="458"/>
      <c r="M624" s="458"/>
      <c r="N624" s="458"/>
      <c r="O624" s="458"/>
      <c r="P624" s="458"/>
      <c r="Q624" s="458"/>
      <c r="R624" s="458"/>
      <c r="S624" s="458"/>
      <c r="T624" s="458"/>
      <c r="U624" s="458"/>
      <c r="V624" s="458"/>
      <c r="W624" s="458"/>
    </row>
    <row r="625" spans="1:23" ht="15.75" customHeight="1">
      <c r="A625" s="458"/>
      <c r="B625" s="458"/>
      <c r="C625" s="458"/>
      <c r="D625" s="458"/>
      <c r="E625" s="458"/>
      <c r="F625" s="458"/>
      <c r="G625" s="458"/>
      <c r="H625" s="458"/>
      <c r="I625" s="458"/>
      <c r="J625" s="458"/>
      <c r="K625" s="458"/>
      <c r="L625" s="458"/>
      <c r="M625" s="458"/>
      <c r="N625" s="458"/>
      <c r="O625" s="458"/>
      <c r="P625" s="458"/>
      <c r="Q625" s="458"/>
      <c r="R625" s="458"/>
      <c r="S625" s="458"/>
      <c r="T625" s="458"/>
      <c r="U625" s="458"/>
      <c r="V625" s="458"/>
      <c r="W625" s="458"/>
    </row>
    <row r="626" spans="1:23" ht="15.75" customHeight="1">
      <c r="A626" s="458"/>
      <c r="B626" s="458"/>
      <c r="C626" s="458"/>
      <c r="D626" s="458"/>
      <c r="E626" s="458"/>
      <c r="F626" s="458"/>
      <c r="G626" s="458"/>
      <c r="H626" s="458"/>
      <c r="I626" s="458"/>
      <c r="J626" s="458"/>
      <c r="K626" s="458"/>
      <c r="L626" s="458"/>
      <c r="M626" s="458"/>
      <c r="N626" s="458"/>
      <c r="O626" s="458"/>
      <c r="P626" s="458"/>
      <c r="Q626" s="458"/>
      <c r="R626" s="458"/>
      <c r="S626" s="458"/>
      <c r="T626" s="458"/>
      <c r="U626" s="458"/>
      <c r="V626" s="458"/>
      <c r="W626" s="458"/>
    </row>
    <row r="627" spans="1:23" ht="15.75" customHeight="1">
      <c r="A627" s="458"/>
      <c r="B627" s="458"/>
      <c r="C627" s="458"/>
      <c r="D627" s="458"/>
      <c r="E627" s="458"/>
      <c r="F627" s="458"/>
      <c r="G627" s="458"/>
      <c r="H627" s="458"/>
      <c r="I627" s="458"/>
      <c r="J627" s="458"/>
      <c r="K627" s="458"/>
      <c r="L627" s="458"/>
      <c r="M627" s="458"/>
      <c r="N627" s="458"/>
      <c r="O627" s="458"/>
      <c r="P627" s="458"/>
      <c r="Q627" s="458"/>
      <c r="R627" s="458"/>
      <c r="S627" s="458"/>
      <c r="T627" s="458"/>
      <c r="U627" s="458"/>
      <c r="V627" s="458"/>
      <c r="W627" s="458"/>
    </row>
    <row r="628" spans="1:23" ht="15.75" customHeight="1">
      <c r="A628" s="458"/>
      <c r="B628" s="458"/>
      <c r="C628" s="458"/>
      <c r="D628" s="458"/>
      <c r="E628" s="458"/>
      <c r="F628" s="458"/>
      <c r="G628" s="458"/>
      <c r="H628" s="458"/>
      <c r="I628" s="458"/>
      <c r="J628" s="458"/>
      <c r="K628" s="458"/>
      <c r="L628" s="458"/>
      <c r="M628" s="458"/>
      <c r="N628" s="458"/>
      <c r="O628" s="458"/>
      <c r="P628" s="458"/>
      <c r="Q628" s="458"/>
      <c r="R628" s="458"/>
      <c r="S628" s="458"/>
      <c r="T628" s="458"/>
      <c r="U628" s="458"/>
      <c r="V628" s="458"/>
      <c r="W628" s="458"/>
    </row>
    <row r="629" spans="1:23" ht="15.75" customHeight="1">
      <c r="A629" s="458"/>
      <c r="B629" s="458"/>
      <c r="C629" s="458"/>
      <c r="D629" s="458"/>
      <c r="E629" s="458"/>
      <c r="F629" s="458"/>
      <c r="G629" s="458"/>
      <c r="H629" s="458"/>
      <c r="I629" s="458"/>
      <c r="J629" s="458"/>
      <c r="K629" s="458"/>
      <c r="L629" s="458"/>
      <c r="M629" s="458"/>
      <c r="N629" s="458"/>
      <c r="O629" s="458"/>
      <c r="P629" s="458"/>
      <c r="Q629" s="458"/>
      <c r="R629" s="458"/>
      <c r="S629" s="458"/>
      <c r="T629" s="458"/>
      <c r="U629" s="458"/>
      <c r="V629" s="458"/>
      <c r="W629" s="458"/>
    </row>
    <row r="630" spans="1:23" ht="15.75" customHeight="1">
      <c r="A630" s="458"/>
      <c r="B630" s="458"/>
      <c r="C630" s="458"/>
      <c r="D630" s="458"/>
      <c r="E630" s="458"/>
      <c r="F630" s="458"/>
      <c r="G630" s="458"/>
      <c r="H630" s="458"/>
      <c r="I630" s="458"/>
      <c r="J630" s="458"/>
      <c r="K630" s="458"/>
      <c r="L630" s="458"/>
      <c r="M630" s="458"/>
      <c r="N630" s="458"/>
      <c r="O630" s="458"/>
      <c r="P630" s="458"/>
      <c r="Q630" s="458"/>
      <c r="R630" s="458"/>
      <c r="S630" s="458"/>
      <c r="T630" s="458"/>
      <c r="U630" s="458"/>
      <c r="V630" s="458"/>
      <c r="W630" s="458"/>
    </row>
    <row r="631" spans="1:23" ht="15.75" customHeight="1">
      <c r="A631" s="458"/>
      <c r="B631" s="458"/>
      <c r="C631" s="458"/>
      <c r="D631" s="458"/>
      <c r="E631" s="458"/>
      <c r="F631" s="458"/>
      <c r="G631" s="458"/>
      <c r="H631" s="458"/>
      <c r="I631" s="458"/>
      <c r="J631" s="458"/>
      <c r="K631" s="458"/>
      <c r="L631" s="458"/>
      <c r="M631" s="458"/>
      <c r="N631" s="458"/>
      <c r="O631" s="458"/>
      <c r="P631" s="458"/>
      <c r="Q631" s="458"/>
      <c r="R631" s="458"/>
      <c r="S631" s="458"/>
      <c r="T631" s="458"/>
      <c r="U631" s="458"/>
      <c r="V631" s="458"/>
      <c r="W631" s="458"/>
    </row>
    <row r="632" spans="1:23" ht="15.75" customHeight="1">
      <c r="A632" s="458"/>
      <c r="B632" s="458"/>
      <c r="C632" s="458"/>
      <c r="D632" s="458"/>
      <c r="E632" s="458"/>
      <c r="F632" s="458"/>
      <c r="G632" s="458"/>
      <c r="H632" s="458"/>
      <c r="I632" s="458"/>
      <c r="J632" s="458"/>
      <c r="K632" s="458"/>
      <c r="L632" s="458"/>
      <c r="M632" s="458"/>
      <c r="N632" s="458"/>
      <c r="O632" s="458"/>
      <c r="P632" s="458"/>
      <c r="Q632" s="458"/>
      <c r="R632" s="458"/>
      <c r="S632" s="458"/>
      <c r="T632" s="458"/>
      <c r="U632" s="458"/>
      <c r="V632" s="458"/>
      <c r="W632" s="458"/>
    </row>
    <row r="633" spans="1:23" ht="15.75" customHeight="1">
      <c r="A633" s="458"/>
      <c r="B633" s="458"/>
      <c r="C633" s="458"/>
      <c r="D633" s="458"/>
      <c r="E633" s="458"/>
      <c r="F633" s="458"/>
      <c r="G633" s="458"/>
      <c r="H633" s="458"/>
      <c r="I633" s="458"/>
      <c r="J633" s="458"/>
      <c r="K633" s="458"/>
      <c r="L633" s="458"/>
      <c r="M633" s="458"/>
      <c r="N633" s="458"/>
      <c r="O633" s="458"/>
      <c r="P633" s="458"/>
      <c r="Q633" s="458"/>
      <c r="R633" s="458"/>
      <c r="S633" s="458"/>
      <c r="T633" s="458"/>
      <c r="U633" s="458"/>
      <c r="V633" s="458"/>
      <c r="W633" s="458"/>
    </row>
    <row r="634" spans="1:23" ht="15.75" customHeight="1">
      <c r="A634" s="458"/>
      <c r="B634" s="458"/>
      <c r="C634" s="458"/>
      <c r="D634" s="458"/>
      <c r="E634" s="458"/>
      <c r="F634" s="458"/>
      <c r="G634" s="458"/>
      <c r="H634" s="458"/>
      <c r="I634" s="458"/>
      <c r="J634" s="458"/>
      <c r="K634" s="458"/>
      <c r="L634" s="458"/>
      <c r="M634" s="458"/>
      <c r="N634" s="458"/>
      <c r="O634" s="458"/>
      <c r="P634" s="458"/>
      <c r="Q634" s="458"/>
      <c r="R634" s="458"/>
      <c r="S634" s="458"/>
      <c r="T634" s="458"/>
      <c r="U634" s="458"/>
      <c r="V634" s="458"/>
      <c r="W634" s="458"/>
    </row>
    <row r="635" spans="1:23" ht="15.75" customHeight="1">
      <c r="A635" s="458"/>
      <c r="B635" s="458"/>
      <c r="C635" s="458"/>
      <c r="D635" s="458"/>
      <c r="E635" s="458"/>
      <c r="F635" s="458"/>
      <c r="G635" s="458"/>
      <c r="H635" s="458"/>
      <c r="I635" s="458"/>
      <c r="J635" s="458"/>
      <c r="K635" s="458"/>
      <c r="L635" s="458"/>
      <c r="M635" s="458"/>
      <c r="N635" s="458"/>
      <c r="O635" s="458"/>
      <c r="P635" s="458"/>
      <c r="Q635" s="458"/>
      <c r="R635" s="458"/>
      <c r="S635" s="458"/>
      <c r="T635" s="458"/>
      <c r="U635" s="458"/>
      <c r="V635" s="458"/>
      <c r="W635" s="458"/>
    </row>
    <row r="636" spans="1:23" ht="15.75" customHeight="1">
      <c r="A636" s="458"/>
      <c r="B636" s="458"/>
      <c r="C636" s="458"/>
      <c r="D636" s="458"/>
      <c r="E636" s="458"/>
      <c r="F636" s="458"/>
      <c r="G636" s="458"/>
      <c r="H636" s="458"/>
      <c r="I636" s="458"/>
      <c r="J636" s="458"/>
      <c r="K636" s="458"/>
      <c r="L636" s="458"/>
      <c r="M636" s="458"/>
      <c r="N636" s="458"/>
      <c r="O636" s="458"/>
      <c r="P636" s="458"/>
      <c r="Q636" s="458"/>
      <c r="R636" s="458"/>
      <c r="S636" s="458"/>
      <c r="T636" s="458"/>
      <c r="U636" s="458"/>
      <c r="V636" s="458"/>
      <c r="W636" s="458"/>
    </row>
    <row r="637" spans="1:23" ht="15.75" customHeight="1">
      <c r="A637" s="458"/>
      <c r="B637" s="458"/>
      <c r="C637" s="458"/>
      <c r="D637" s="458"/>
      <c r="E637" s="458"/>
      <c r="F637" s="458"/>
      <c r="G637" s="458"/>
      <c r="H637" s="458"/>
      <c r="I637" s="458"/>
      <c r="J637" s="458"/>
      <c r="K637" s="458"/>
      <c r="L637" s="458"/>
      <c r="M637" s="458"/>
      <c r="N637" s="458"/>
      <c r="O637" s="458"/>
      <c r="P637" s="458"/>
      <c r="Q637" s="458"/>
      <c r="R637" s="458"/>
      <c r="S637" s="458"/>
      <c r="T637" s="458"/>
      <c r="U637" s="458"/>
      <c r="V637" s="458"/>
      <c r="W637" s="458"/>
    </row>
    <row r="638" spans="1:23" ht="15.75" customHeight="1">
      <c r="A638" s="458"/>
      <c r="B638" s="458"/>
      <c r="C638" s="458"/>
      <c r="D638" s="458"/>
      <c r="E638" s="458"/>
      <c r="F638" s="458"/>
      <c r="G638" s="458"/>
      <c r="H638" s="458"/>
      <c r="I638" s="458"/>
      <c r="J638" s="458"/>
      <c r="K638" s="458"/>
      <c r="L638" s="458"/>
      <c r="M638" s="458"/>
      <c r="N638" s="458"/>
      <c r="O638" s="458"/>
      <c r="P638" s="458"/>
      <c r="Q638" s="458"/>
      <c r="R638" s="458"/>
      <c r="S638" s="458"/>
      <c r="T638" s="458"/>
      <c r="U638" s="458"/>
      <c r="V638" s="458"/>
      <c r="W638" s="458"/>
    </row>
    <row r="639" spans="1:23" ht="15.75" customHeight="1">
      <c r="A639" s="458"/>
      <c r="B639" s="458"/>
      <c r="C639" s="458"/>
      <c r="D639" s="458"/>
      <c r="E639" s="458"/>
      <c r="F639" s="458"/>
      <c r="G639" s="458"/>
      <c r="H639" s="458"/>
      <c r="I639" s="458"/>
      <c r="J639" s="458"/>
      <c r="K639" s="458"/>
      <c r="L639" s="458"/>
      <c r="M639" s="458"/>
      <c r="N639" s="458"/>
      <c r="O639" s="458"/>
      <c r="P639" s="458"/>
      <c r="Q639" s="458"/>
      <c r="R639" s="458"/>
      <c r="S639" s="458"/>
      <c r="T639" s="458"/>
      <c r="U639" s="458"/>
      <c r="V639" s="458"/>
      <c r="W639" s="458"/>
    </row>
    <row r="640" spans="1:23" ht="15.75" customHeight="1">
      <c r="A640" s="458"/>
      <c r="B640" s="458"/>
      <c r="C640" s="458"/>
      <c r="D640" s="458"/>
      <c r="E640" s="458"/>
      <c r="F640" s="458"/>
      <c r="G640" s="458"/>
      <c r="H640" s="458"/>
      <c r="I640" s="458"/>
      <c r="J640" s="458"/>
      <c r="K640" s="458"/>
      <c r="L640" s="458"/>
      <c r="M640" s="458"/>
      <c r="N640" s="458"/>
      <c r="O640" s="458"/>
      <c r="P640" s="458"/>
      <c r="Q640" s="458"/>
      <c r="R640" s="458"/>
      <c r="S640" s="458"/>
      <c r="T640" s="458"/>
      <c r="U640" s="458"/>
      <c r="V640" s="458"/>
      <c r="W640" s="458"/>
    </row>
    <row r="641" spans="1:23" ht="15.75" customHeight="1">
      <c r="A641" s="458"/>
      <c r="B641" s="458"/>
      <c r="C641" s="458"/>
      <c r="D641" s="458"/>
      <c r="E641" s="458"/>
      <c r="F641" s="458"/>
      <c r="G641" s="458"/>
      <c r="H641" s="458"/>
      <c r="I641" s="458"/>
      <c r="J641" s="458"/>
      <c r="K641" s="458"/>
      <c r="L641" s="458"/>
      <c r="M641" s="458"/>
      <c r="N641" s="458"/>
      <c r="O641" s="458"/>
      <c r="P641" s="458"/>
      <c r="Q641" s="458"/>
      <c r="R641" s="458"/>
      <c r="S641" s="458"/>
      <c r="T641" s="458"/>
      <c r="U641" s="458"/>
      <c r="V641" s="458"/>
      <c r="W641" s="458"/>
    </row>
    <row r="642" spans="1:23" ht="15.75" customHeight="1">
      <c r="A642" s="458"/>
      <c r="B642" s="458"/>
      <c r="C642" s="458"/>
      <c r="D642" s="458"/>
      <c r="E642" s="458"/>
      <c r="F642" s="458"/>
      <c r="G642" s="458"/>
      <c r="H642" s="458"/>
      <c r="I642" s="458"/>
      <c r="J642" s="458"/>
      <c r="K642" s="458"/>
      <c r="L642" s="458"/>
      <c r="M642" s="458"/>
      <c r="N642" s="458"/>
      <c r="O642" s="458"/>
      <c r="P642" s="458"/>
      <c r="Q642" s="458"/>
      <c r="R642" s="458"/>
      <c r="S642" s="458"/>
      <c r="T642" s="458"/>
      <c r="U642" s="458"/>
      <c r="V642" s="458"/>
      <c r="W642" s="458"/>
    </row>
    <row r="643" spans="1:23" ht="15.75" customHeight="1">
      <c r="A643" s="458"/>
      <c r="B643" s="458"/>
      <c r="C643" s="458"/>
      <c r="D643" s="458"/>
      <c r="E643" s="458"/>
      <c r="F643" s="458"/>
      <c r="G643" s="458"/>
      <c r="H643" s="458"/>
      <c r="I643" s="458"/>
      <c r="J643" s="458"/>
      <c r="K643" s="458"/>
      <c r="L643" s="458"/>
      <c r="M643" s="458"/>
      <c r="N643" s="458"/>
      <c r="O643" s="458"/>
      <c r="P643" s="458"/>
      <c r="Q643" s="458"/>
      <c r="R643" s="458"/>
      <c r="S643" s="458"/>
      <c r="T643" s="458"/>
      <c r="U643" s="458"/>
      <c r="V643" s="458"/>
      <c r="W643" s="458"/>
    </row>
    <row r="644" spans="1:23" ht="15.75" customHeight="1">
      <c r="A644" s="458"/>
      <c r="B644" s="458"/>
      <c r="C644" s="458"/>
      <c r="D644" s="458"/>
      <c r="E644" s="458"/>
      <c r="F644" s="458"/>
      <c r="G644" s="458"/>
      <c r="H644" s="458"/>
      <c r="I644" s="458"/>
      <c r="J644" s="458"/>
      <c r="K644" s="458"/>
      <c r="L644" s="458"/>
      <c r="M644" s="458"/>
      <c r="N644" s="458"/>
      <c r="O644" s="458"/>
      <c r="P644" s="458"/>
      <c r="Q644" s="458"/>
      <c r="R644" s="458"/>
      <c r="S644" s="458"/>
      <c r="T644" s="458"/>
      <c r="U644" s="458"/>
      <c r="V644" s="458"/>
      <c r="W644" s="458"/>
    </row>
    <row r="645" spans="1:23" ht="15.75" customHeight="1">
      <c r="A645" s="458"/>
      <c r="B645" s="458"/>
      <c r="C645" s="458"/>
      <c r="D645" s="458"/>
      <c r="E645" s="458"/>
      <c r="F645" s="458"/>
      <c r="G645" s="458"/>
      <c r="H645" s="458"/>
      <c r="I645" s="458"/>
      <c r="J645" s="458"/>
      <c r="K645" s="458"/>
      <c r="L645" s="458"/>
      <c r="M645" s="458"/>
      <c r="N645" s="458"/>
      <c r="O645" s="458"/>
      <c r="P645" s="458"/>
      <c r="Q645" s="458"/>
      <c r="R645" s="458"/>
      <c r="S645" s="458"/>
      <c r="T645" s="458"/>
      <c r="U645" s="458"/>
      <c r="V645" s="458"/>
      <c r="W645" s="458"/>
    </row>
    <row r="646" spans="1:23" ht="15.75" customHeight="1">
      <c r="A646" s="458"/>
      <c r="B646" s="458"/>
      <c r="C646" s="458"/>
      <c r="D646" s="458"/>
      <c r="E646" s="458"/>
      <c r="F646" s="458"/>
      <c r="G646" s="458"/>
      <c r="H646" s="458"/>
      <c r="I646" s="458"/>
      <c r="J646" s="458"/>
      <c r="K646" s="458"/>
      <c r="L646" s="458"/>
      <c r="M646" s="458"/>
      <c r="N646" s="458"/>
      <c r="O646" s="458"/>
      <c r="P646" s="458"/>
      <c r="Q646" s="458"/>
      <c r="R646" s="458"/>
      <c r="S646" s="458"/>
      <c r="T646" s="458"/>
      <c r="U646" s="458"/>
      <c r="V646" s="458"/>
      <c r="W646" s="458"/>
    </row>
    <row r="647" spans="1:23" ht="15.75" customHeight="1">
      <c r="A647" s="458"/>
      <c r="B647" s="458"/>
      <c r="C647" s="458"/>
      <c r="D647" s="458"/>
      <c r="E647" s="458"/>
      <c r="F647" s="458"/>
      <c r="G647" s="458"/>
      <c r="H647" s="458"/>
      <c r="I647" s="458"/>
      <c r="J647" s="458"/>
      <c r="K647" s="458"/>
      <c r="L647" s="458"/>
      <c r="M647" s="458"/>
      <c r="N647" s="458"/>
      <c r="O647" s="458"/>
      <c r="P647" s="458"/>
      <c r="Q647" s="458"/>
      <c r="R647" s="458"/>
      <c r="S647" s="458"/>
      <c r="T647" s="458"/>
      <c r="U647" s="458"/>
      <c r="V647" s="458"/>
      <c r="W647" s="458"/>
    </row>
    <row r="648" spans="1:23" ht="15.75" customHeight="1">
      <c r="A648" s="458"/>
      <c r="B648" s="458"/>
      <c r="C648" s="458"/>
      <c r="D648" s="458"/>
      <c r="E648" s="458"/>
      <c r="F648" s="458"/>
      <c r="G648" s="458"/>
      <c r="H648" s="458"/>
      <c r="I648" s="458"/>
      <c r="J648" s="458"/>
      <c r="K648" s="458"/>
      <c r="L648" s="458"/>
      <c r="M648" s="458"/>
      <c r="N648" s="458"/>
      <c r="O648" s="458"/>
      <c r="P648" s="458"/>
      <c r="Q648" s="458"/>
      <c r="R648" s="458"/>
      <c r="S648" s="458"/>
      <c r="T648" s="458"/>
      <c r="U648" s="458"/>
      <c r="V648" s="458"/>
      <c r="W648" s="458"/>
    </row>
    <row r="649" spans="1:23" ht="15.75" customHeight="1">
      <c r="A649" s="458"/>
      <c r="B649" s="458"/>
      <c r="C649" s="458"/>
      <c r="D649" s="458"/>
      <c r="E649" s="458"/>
      <c r="F649" s="458"/>
      <c r="G649" s="458"/>
      <c r="H649" s="458"/>
      <c r="I649" s="458"/>
      <c r="J649" s="458"/>
      <c r="K649" s="458"/>
      <c r="L649" s="458"/>
      <c r="M649" s="458"/>
      <c r="N649" s="458"/>
      <c r="O649" s="458"/>
      <c r="P649" s="458"/>
      <c r="Q649" s="458"/>
      <c r="R649" s="458"/>
      <c r="S649" s="458"/>
      <c r="T649" s="458"/>
      <c r="U649" s="458"/>
      <c r="V649" s="458"/>
      <c r="W649" s="458"/>
    </row>
    <row r="650" spans="1:23" ht="15.75" customHeight="1">
      <c r="A650" s="458"/>
      <c r="B650" s="458"/>
      <c r="C650" s="458"/>
      <c r="D650" s="458"/>
      <c r="E650" s="458"/>
      <c r="F650" s="458"/>
      <c r="G650" s="458"/>
      <c r="H650" s="458"/>
      <c r="I650" s="458"/>
      <c r="J650" s="458"/>
      <c r="K650" s="458"/>
      <c r="L650" s="458"/>
      <c r="M650" s="458"/>
      <c r="N650" s="458"/>
      <c r="O650" s="458"/>
      <c r="P650" s="458"/>
      <c r="Q650" s="458"/>
      <c r="R650" s="458"/>
      <c r="S650" s="458"/>
      <c r="T650" s="458"/>
      <c r="U650" s="458"/>
      <c r="V650" s="458"/>
      <c r="W650" s="458"/>
    </row>
    <row r="651" spans="1:23" ht="15.75" customHeight="1">
      <c r="A651" s="458"/>
      <c r="B651" s="458"/>
      <c r="C651" s="458"/>
      <c r="D651" s="458"/>
      <c r="E651" s="458"/>
      <c r="F651" s="458"/>
      <c r="G651" s="458"/>
      <c r="H651" s="458"/>
      <c r="I651" s="458"/>
      <c r="J651" s="458"/>
      <c r="K651" s="458"/>
      <c r="L651" s="458"/>
      <c r="M651" s="458"/>
      <c r="N651" s="458"/>
      <c r="O651" s="458"/>
      <c r="P651" s="458"/>
      <c r="Q651" s="458"/>
      <c r="R651" s="458"/>
      <c r="S651" s="458"/>
      <c r="T651" s="458"/>
      <c r="U651" s="458"/>
      <c r="V651" s="458"/>
      <c r="W651" s="458"/>
    </row>
    <row r="652" spans="1:23" ht="15.75" customHeight="1">
      <c r="A652" s="458"/>
      <c r="B652" s="458"/>
      <c r="C652" s="458"/>
      <c r="D652" s="458"/>
      <c r="E652" s="458"/>
      <c r="F652" s="458"/>
      <c r="G652" s="458"/>
      <c r="H652" s="458"/>
      <c r="I652" s="458"/>
      <c r="J652" s="458"/>
      <c r="K652" s="458"/>
      <c r="L652" s="458"/>
      <c r="M652" s="458"/>
      <c r="N652" s="458"/>
      <c r="O652" s="458"/>
      <c r="P652" s="458"/>
      <c r="Q652" s="458"/>
      <c r="R652" s="458"/>
      <c r="S652" s="458"/>
      <c r="T652" s="458"/>
      <c r="U652" s="458"/>
      <c r="V652" s="458"/>
      <c r="W652" s="458"/>
    </row>
    <row r="653" spans="1:23" ht="15.75" customHeight="1">
      <c r="A653" s="458"/>
      <c r="B653" s="458"/>
      <c r="C653" s="458"/>
      <c r="D653" s="458"/>
      <c r="E653" s="458"/>
      <c r="F653" s="458"/>
      <c r="G653" s="458"/>
      <c r="H653" s="458"/>
      <c r="I653" s="458"/>
      <c r="J653" s="458"/>
      <c r="K653" s="458"/>
      <c r="L653" s="458"/>
      <c r="M653" s="458"/>
      <c r="N653" s="458"/>
      <c r="O653" s="458"/>
      <c r="P653" s="458"/>
      <c r="Q653" s="458"/>
      <c r="R653" s="458"/>
      <c r="S653" s="458"/>
      <c r="T653" s="458"/>
      <c r="U653" s="458"/>
      <c r="V653" s="458"/>
      <c r="W653" s="458"/>
    </row>
    <row r="654" spans="1:23" ht="15.75" customHeight="1">
      <c r="A654" s="458"/>
      <c r="B654" s="458"/>
      <c r="C654" s="458"/>
      <c r="D654" s="458"/>
      <c r="E654" s="458"/>
      <c r="F654" s="458"/>
      <c r="G654" s="458"/>
      <c r="H654" s="458"/>
      <c r="I654" s="458"/>
      <c r="J654" s="458"/>
      <c r="K654" s="458"/>
      <c r="L654" s="458"/>
      <c r="M654" s="458"/>
      <c r="N654" s="458"/>
      <c r="O654" s="458"/>
      <c r="P654" s="458"/>
      <c r="Q654" s="458"/>
      <c r="R654" s="458"/>
      <c r="S654" s="458"/>
      <c r="T654" s="458"/>
      <c r="U654" s="458"/>
      <c r="V654" s="458"/>
      <c r="W654" s="458"/>
    </row>
    <row r="655" spans="1:23" ht="15.75" customHeight="1">
      <c r="A655" s="458"/>
      <c r="B655" s="458"/>
      <c r="C655" s="458"/>
      <c r="D655" s="458"/>
      <c r="E655" s="458"/>
      <c r="F655" s="458"/>
      <c r="G655" s="458"/>
      <c r="H655" s="458"/>
      <c r="I655" s="458"/>
      <c r="J655" s="458"/>
      <c r="K655" s="458"/>
      <c r="L655" s="458"/>
      <c r="M655" s="458"/>
      <c r="N655" s="458"/>
      <c r="O655" s="458"/>
      <c r="P655" s="458"/>
      <c r="Q655" s="458"/>
      <c r="R655" s="458"/>
      <c r="S655" s="458"/>
      <c r="T655" s="458"/>
      <c r="U655" s="458"/>
      <c r="V655" s="458"/>
      <c r="W655" s="458"/>
    </row>
    <row r="656" spans="1:23" ht="15.75" customHeight="1">
      <c r="A656" s="458"/>
      <c r="B656" s="458"/>
      <c r="C656" s="458"/>
      <c r="D656" s="458"/>
      <c r="E656" s="458"/>
      <c r="F656" s="458"/>
      <c r="G656" s="458"/>
      <c r="H656" s="458"/>
      <c r="I656" s="458"/>
      <c r="J656" s="458"/>
      <c r="K656" s="458"/>
      <c r="L656" s="458"/>
      <c r="M656" s="458"/>
      <c r="N656" s="458"/>
      <c r="O656" s="458"/>
      <c r="P656" s="458"/>
      <c r="Q656" s="458"/>
      <c r="R656" s="458"/>
      <c r="S656" s="458"/>
      <c r="T656" s="458"/>
      <c r="U656" s="458"/>
      <c r="V656" s="458"/>
      <c r="W656" s="458"/>
    </row>
    <row r="657" spans="1:23" ht="15.75" customHeight="1">
      <c r="A657" s="458"/>
      <c r="B657" s="458"/>
      <c r="C657" s="458"/>
      <c r="D657" s="458"/>
      <c r="E657" s="458"/>
      <c r="F657" s="458"/>
      <c r="G657" s="458"/>
      <c r="H657" s="458"/>
      <c r="I657" s="458"/>
      <c r="J657" s="458"/>
      <c r="K657" s="458"/>
      <c r="L657" s="458"/>
      <c r="M657" s="458"/>
      <c r="N657" s="458"/>
      <c r="O657" s="458"/>
      <c r="P657" s="458"/>
      <c r="Q657" s="458"/>
      <c r="R657" s="458"/>
      <c r="S657" s="458"/>
      <c r="T657" s="458"/>
      <c r="U657" s="458"/>
      <c r="V657" s="458"/>
      <c r="W657" s="458"/>
    </row>
    <row r="658" spans="1:23" ht="15.75" customHeight="1">
      <c r="A658" s="458"/>
      <c r="B658" s="458"/>
      <c r="C658" s="458"/>
      <c r="D658" s="458"/>
      <c r="E658" s="458"/>
      <c r="F658" s="458"/>
      <c r="G658" s="458"/>
      <c r="H658" s="458"/>
      <c r="I658" s="458"/>
      <c r="J658" s="458"/>
      <c r="K658" s="458"/>
      <c r="L658" s="458"/>
      <c r="M658" s="458"/>
      <c r="N658" s="458"/>
      <c r="O658" s="458"/>
      <c r="P658" s="458"/>
      <c r="Q658" s="458"/>
      <c r="R658" s="458"/>
      <c r="S658" s="458"/>
      <c r="T658" s="458"/>
      <c r="U658" s="458"/>
      <c r="V658" s="458"/>
      <c r="W658" s="458"/>
    </row>
    <row r="659" spans="1:23" ht="15.75" customHeight="1">
      <c r="A659" s="458"/>
      <c r="B659" s="458"/>
      <c r="C659" s="458"/>
      <c r="D659" s="458"/>
      <c r="E659" s="458"/>
      <c r="F659" s="458"/>
      <c r="G659" s="458"/>
      <c r="H659" s="458"/>
      <c r="I659" s="458"/>
      <c r="J659" s="458"/>
      <c r="K659" s="458"/>
      <c r="L659" s="458"/>
      <c r="M659" s="458"/>
      <c r="N659" s="458"/>
      <c r="O659" s="458"/>
      <c r="P659" s="458"/>
      <c r="Q659" s="458"/>
      <c r="R659" s="458"/>
      <c r="S659" s="458"/>
      <c r="T659" s="458"/>
      <c r="U659" s="458"/>
      <c r="V659" s="458"/>
      <c r="W659" s="458"/>
    </row>
    <row r="660" spans="1:23" ht="15.75" customHeight="1">
      <c r="A660" s="458"/>
      <c r="B660" s="458"/>
      <c r="C660" s="458"/>
      <c r="D660" s="458"/>
      <c r="E660" s="458"/>
      <c r="F660" s="458"/>
      <c r="G660" s="458"/>
      <c r="H660" s="458"/>
      <c r="I660" s="458"/>
      <c r="J660" s="458"/>
      <c r="K660" s="458"/>
      <c r="L660" s="458"/>
      <c r="M660" s="458"/>
      <c r="N660" s="458"/>
      <c r="O660" s="458"/>
      <c r="P660" s="458"/>
      <c r="Q660" s="458"/>
      <c r="R660" s="458"/>
      <c r="S660" s="458"/>
      <c r="T660" s="458"/>
      <c r="U660" s="458"/>
      <c r="V660" s="458"/>
      <c r="W660" s="458"/>
    </row>
    <row r="661" spans="1:23" ht="15.75" customHeight="1">
      <c r="A661" s="458"/>
      <c r="B661" s="458"/>
      <c r="C661" s="458"/>
      <c r="D661" s="458"/>
      <c r="E661" s="458"/>
      <c r="F661" s="458"/>
      <c r="G661" s="458"/>
      <c r="H661" s="458"/>
      <c r="I661" s="458"/>
      <c r="J661" s="458"/>
      <c r="K661" s="458"/>
      <c r="L661" s="458"/>
      <c r="M661" s="458"/>
      <c r="N661" s="458"/>
      <c r="O661" s="458"/>
      <c r="P661" s="458"/>
      <c r="Q661" s="458"/>
      <c r="R661" s="458"/>
      <c r="S661" s="458"/>
      <c r="T661" s="458"/>
      <c r="U661" s="458"/>
      <c r="V661" s="458"/>
      <c r="W661" s="458"/>
    </row>
    <row r="662" spans="1:23" ht="15.75" customHeight="1">
      <c r="A662" s="458"/>
      <c r="B662" s="458"/>
      <c r="C662" s="458"/>
      <c r="D662" s="458"/>
      <c r="E662" s="458"/>
      <c r="F662" s="458"/>
      <c r="G662" s="458"/>
      <c r="H662" s="458"/>
      <c r="I662" s="458"/>
      <c r="J662" s="458"/>
      <c r="K662" s="458"/>
      <c r="L662" s="458"/>
      <c r="M662" s="458"/>
      <c r="N662" s="458"/>
      <c r="O662" s="458"/>
      <c r="P662" s="458"/>
      <c r="Q662" s="458"/>
      <c r="R662" s="458"/>
      <c r="S662" s="458"/>
      <c r="T662" s="458"/>
      <c r="U662" s="458"/>
      <c r="V662" s="458"/>
      <c r="W662" s="458"/>
    </row>
    <row r="663" spans="1:23" ht="15.75" customHeight="1">
      <c r="A663" s="458"/>
      <c r="B663" s="458"/>
      <c r="C663" s="458"/>
      <c r="D663" s="458"/>
      <c r="E663" s="458"/>
      <c r="F663" s="458"/>
      <c r="G663" s="458"/>
      <c r="H663" s="458"/>
      <c r="I663" s="458"/>
      <c r="J663" s="458"/>
      <c r="K663" s="458"/>
      <c r="L663" s="458"/>
      <c r="M663" s="458"/>
      <c r="N663" s="458"/>
      <c r="O663" s="458"/>
      <c r="P663" s="458"/>
      <c r="Q663" s="458"/>
      <c r="R663" s="458"/>
      <c r="S663" s="458"/>
      <c r="T663" s="458"/>
      <c r="U663" s="458"/>
      <c r="V663" s="458"/>
      <c r="W663" s="458"/>
    </row>
    <row r="664" spans="1:23" ht="15.75" customHeight="1">
      <c r="A664" s="458"/>
      <c r="B664" s="458"/>
      <c r="C664" s="458"/>
      <c r="D664" s="458"/>
      <c r="E664" s="458"/>
      <c r="F664" s="458"/>
      <c r="G664" s="458"/>
      <c r="H664" s="458"/>
      <c r="I664" s="458"/>
      <c r="J664" s="458"/>
      <c r="K664" s="458"/>
      <c r="L664" s="458"/>
      <c r="M664" s="458"/>
      <c r="N664" s="458"/>
      <c r="O664" s="458"/>
      <c r="P664" s="458"/>
      <c r="Q664" s="458"/>
      <c r="R664" s="458"/>
      <c r="S664" s="458"/>
      <c r="T664" s="458"/>
      <c r="U664" s="458"/>
      <c r="V664" s="458"/>
      <c r="W664" s="458"/>
    </row>
    <row r="665" spans="1:23" ht="15.75" customHeight="1">
      <c r="A665" s="458"/>
      <c r="B665" s="458"/>
      <c r="C665" s="458"/>
      <c r="D665" s="458"/>
      <c r="E665" s="458"/>
      <c r="F665" s="458"/>
      <c r="G665" s="458"/>
      <c r="H665" s="458"/>
      <c r="I665" s="458"/>
      <c r="J665" s="458"/>
      <c r="K665" s="458"/>
      <c r="L665" s="458"/>
      <c r="M665" s="458"/>
      <c r="N665" s="458"/>
      <c r="O665" s="458"/>
      <c r="P665" s="458"/>
      <c r="Q665" s="458"/>
      <c r="R665" s="458"/>
      <c r="S665" s="458"/>
      <c r="T665" s="458"/>
      <c r="U665" s="458"/>
      <c r="V665" s="458"/>
      <c r="W665" s="458"/>
    </row>
    <row r="666" spans="1:23" ht="15.75" customHeight="1">
      <c r="A666" s="458"/>
      <c r="B666" s="458"/>
      <c r="C666" s="458"/>
      <c r="D666" s="458"/>
      <c r="E666" s="458"/>
      <c r="F666" s="458"/>
      <c r="G666" s="458"/>
      <c r="H666" s="458"/>
      <c r="I666" s="458"/>
      <c r="J666" s="458"/>
      <c r="K666" s="458"/>
      <c r="L666" s="458"/>
      <c r="M666" s="458"/>
      <c r="N666" s="458"/>
      <c r="O666" s="458"/>
      <c r="P666" s="458"/>
      <c r="Q666" s="458"/>
      <c r="R666" s="458"/>
      <c r="S666" s="458"/>
      <c r="T666" s="458"/>
      <c r="U666" s="458"/>
      <c r="V666" s="458"/>
      <c r="W666" s="458"/>
    </row>
    <row r="667" spans="1:23" ht="15.75" customHeight="1">
      <c r="A667" s="458"/>
      <c r="B667" s="458"/>
      <c r="C667" s="458"/>
      <c r="D667" s="458"/>
      <c r="E667" s="458"/>
      <c r="F667" s="458"/>
      <c r="G667" s="458"/>
      <c r="H667" s="458"/>
      <c r="I667" s="458"/>
      <c r="J667" s="458"/>
      <c r="K667" s="458"/>
      <c r="L667" s="458"/>
      <c r="M667" s="458"/>
      <c r="N667" s="458"/>
      <c r="O667" s="458"/>
      <c r="P667" s="458"/>
      <c r="Q667" s="458"/>
      <c r="R667" s="458"/>
      <c r="S667" s="458"/>
      <c r="T667" s="458"/>
      <c r="U667" s="458"/>
      <c r="V667" s="458"/>
      <c r="W667" s="458"/>
    </row>
    <row r="668" spans="1:23" ht="15.75" customHeight="1">
      <c r="A668" s="458"/>
      <c r="B668" s="458"/>
      <c r="C668" s="458"/>
      <c r="D668" s="458"/>
      <c r="E668" s="458"/>
      <c r="F668" s="458"/>
      <c r="G668" s="458"/>
      <c r="H668" s="458"/>
      <c r="I668" s="458"/>
      <c r="J668" s="458"/>
      <c r="K668" s="458"/>
      <c r="L668" s="458"/>
      <c r="M668" s="458"/>
      <c r="N668" s="458"/>
      <c r="O668" s="458"/>
      <c r="P668" s="458"/>
      <c r="Q668" s="458"/>
      <c r="R668" s="458"/>
      <c r="S668" s="458"/>
      <c r="T668" s="458"/>
      <c r="U668" s="458"/>
      <c r="V668" s="458"/>
      <c r="W668" s="458"/>
    </row>
    <row r="669" spans="1:23" ht="15.75" customHeight="1">
      <c r="A669" s="458"/>
      <c r="B669" s="458"/>
      <c r="C669" s="458"/>
      <c r="D669" s="458"/>
      <c r="E669" s="458"/>
      <c r="F669" s="458"/>
      <c r="G669" s="458"/>
      <c r="H669" s="458"/>
      <c r="I669" s="458"/>
      <c r="J669" s="458"/>
      <c r="K669" s="458"/>
      <c r="L669" s="458"/>
      <c r="M669" s="458"/>
      <c r="N669" s="458"/>
      <c r="O669" s="458"/>
      <c r="P669" s="458"/>
      <c r="Q669" s="458"/>
      <c r="R669" s="458"/>
      <c r="S669" s="458"/>
      <c r="T669" s="458"/>
      <c r="U669" s="458"/>
      <c r="V669" s="458"/>
      <c r="W669" s="458"/>
    </row>
    <row r="670" spans="1:23" ht="15.75" customHeight="1">
      <c r="A670" s="458"/>
      <c r="B670" s="458"/>
      <c r="C670" s="458"/>
      <c r="D670" s="458"/>
      <c r="E670" s="458"/>
      <c r="F670" s="458"/>
      <c r="G670" s="458"/>
      <c r="H670" s="458"/>
      <c r="I670" s="458"/>
      <c r="J670" s="458"/>
      <c r="K670" s="458"/>
      <c r="L670" s="458"/>
      <c r="M670" s="458"/>
      <c r="N670" s="458"/>
      <c r="O670" s="458"/>
      <c r="P670" s="458"/>
      <c r="Q670" s="458"/>
      <c r="R670" s="458"/>
      <c r="S670" s="458"/>
      <c r="T670" s="458"/>
      <c r="U670" s="458"/>
      <c r="V670" s="458"/>
      <c r="W670" s="458"/>
    </row>
    <row r="671" spans="1:23" ht="15.75" customHeight="1">
      <c r="A671" s="458"/>
      <c r="B671" s="458"/>
      <c r="C671" s="458"/>
      <c r="D671" s="458"/>
      <c r="E671" s="458"/>
      <c r="F671" s="458"/>
      <c r="G671" s="458"/>
      <c r="H671" s="458"/>
      <c r="I671" s="458"/>
      <c r="J671" s="458"/>
      <c r="K671" s="458"/>
      <c r="L671" s="458"/>
      <c r="M671" s="458"/>
      <c r="N671" s="458"/>
      <c r="O671" s="458"/>
      <c r="P671" s="458"/>
      <c r="Q671" s="458"/>
      <c r="R671" s="458"/>
      <c r="S671" s="458"/>
      <c r="T671" s="458"/>
      <c r="U671" s="458"/>
      <c r="V671" s="458"/>
      <c r="W671" s="458"/>
    </row>
    <row r="672" spans="1:23" ht="15.75" customHeight="1">
      <c r="A672" s="458"/>
      <c r="B672" s="458"/>
      <c r="C672" s="458"/>
      <c r="D672" s="458"/>
      <c r="E672" s="458"/>
      <c r="F672" s="458"/>
      <c r="G672" s="458"/>
      <c r="H672" s="458"/>
      <c r="I672" s="458"/>
      <c r="J672" s="458"/>
      <c r="K672" s="458"/>
      <c r="L672" s="458"/>
      <c r="M672" s="458"/>
      <c r="N672" s="458"/>
      <c r="O672" s="458"/>
      <c r="P672" s="458"/>
      <c r="Q672" s="458"/>
      <c r="R672" s="458"/>
      <c r="S672" s="458"/>
      <c r="T672" s="458"/>
      <c r="U672" s="458"/>
      <c r="V672" s="458"/>
      <c r="W672" s="458"/>
    </row>
    <row r="673" spans="1:23" ht="15.75" customHeight="1">
      <c r="A673" s="458"/>
      <c r="B673" s="458"/>
      <c r="C673" s="458"/>
      <c r="D673" s="458"/>
      <c r="E673" s="458"/>
      <c r="F673" s="458"/>
      <c r="G673" s="458"/>
      <c r="H673" s="458"/>
      <c r="I673" s="458"/>
      <c r="J673" s="458"/>
      <c r="K673" s="458"/>
      <c r="L673" s="458"/>
      <c r="M673" s="458"/>
      <c r="N673" s="458"/>
      <c r="O673" s="458"/>
      <c r="P673" s="458"/>
      <c r="Q673" s="458"/>
      <c r="R673" s="458"/>
      <c r="S673" s="458"/>
      <c r="T673" s="458"/>
      <c r="U673" s="458"/>
      <c r="V673" s="458"/>
      <c r="W673" s="458"/>
    </row>
    <row r="674" spans="1:23" ht="15.75" customHeight="1">
      <c r="A674" s="458"/>
      <c r="B674" s="458"/>
      <c r="C674" s="458"/>
      <c r="D674" s="458"/>
      <c r="E674" s="458"/>
      <c r="F674" s="458"/>
      <c r="G674" s="458"/>
      <c r="H674" s="458"/>
      <c r="I674" s="458"/>
      <c r="J674" s="458"/>
      <c r="K674" s="458"/>
      <c r="L674" s="458"/>
      <c r="M674" s="458"/>
      <c r="N674" s="458"/>
      <c r="O674" s="458"/>
      <c r="P674" s="458"/>
      <c r="Q674" s="458"/>
      <c r="R674" s="458"/>
      <c r="S674" s="458"/>
      <c r="T674" s="458"/>
      <c r="U674" s="458"/>
      <c r="V674" s="458"/>
      <c r="W674" s="458"/>
    </row>
    <row r="675" spans="1:23" ht="15.75" customHeight="1">
      <c r="A675" s="458"/>
      <c r="B675" s="458"/>
      <c r="C675" s="458"/>
      <c r="D675" s="458"/>
      <c r="E675" s="458"/>
      <c r="F675" s="458"/>
      <c r="G675" s="458"/>
      <c r="H675" s="458"/>
      <c r="I675" s="458"/>
      <c r="J675" s="458"/>
      <c r="K675" s="458"/>
      <c r="L675" s="458"/>
      <c r="M675" s="458"/>
      <c r="N675" s="458"/>
      <c r="O675" s="458"/>
      <c r="P675" s="458"/>
      <c r="Q675" s="458"/>
      <c r="R675" s="458"/>
      <c r="S675" s="458"/>
      <c r="T675" s="458"/>
      <c r="U675" s="458"/>
      <c r="V675" s="458"/>
      <c r="W675" s="458"/>
    </row>
    <row r="676" spans="1:23" ht="15.75" customHeight="1">
      <c r="A676" s="458"/>
      <c r="B676" s="458"/>
      <c r="C676" s="458"/>
      <c r="D676" s="458"/>
      <c r="E676" s="458"/>
      <c r="F676" s="458"/>
      <c r="G676" s="458"/>
      <c r="H676" s="458"/>
      <c r="I676" s="458"/>
      <c r="J676" s="458"/>
      <c r="K676" s="458"/>
      <c r="L676" s="458"/>
      <c r="M676" s="458"/>
      <c r="N676" s="458"/>
      <c r="O676" s="458"/>
      <c r="P676" s="458"/>
      <c r="Q676" s="458"/>
      <c r="R676" s="458"/>
      <c r="S676" s="458"/>
      <c r="T676" s="458"/>
      <c r="U676" s="458"/>
      <c r="V676" s="458"/>
      <c r="W676" s="458"/>
    </row>
    <row r="677" spans="1:23" ht="15.75" customHeight="1">
      <c r="A677" s="458"/>
      <c r="B677" s="458"/>
      <c r="C677" s="458"/>
      <c r="D677" s="458"/>
      <c r="E677" s="458"/>
      <c r="F677" s="458"/>
      <c r="G677" s="458"/>
      <c r="H677" s="458"/>
      <c r="I677" s="458"/>
      <c r="J677" s="458"/>
      <c r="K677" s="458"/>
      <c r="L677" s="458"/>
      <c r="M677" s="458"/>
      <c r="N677" s="458"/>
      <c r="O677" s="458"/>
      <c r="P677" s="458"/>
      <c r="Q677" s="458"/>
      <c r="R677" s="458"/>
      <c r="S677" s="458"/>
      <c r="T677" s="458"/>
      <c r="U677" s="458"/>
      <c r="V677" s="458"/>
      <c r="W677" s="458"/>
    </row>
    <row r="678" spans="1:23" ht="15.75" customHeight="1">
      <c r="A678" s="458"/>
      <c r="B678" s="458"/>
      <c r="C678" s="458"/>
      <c r="D678" s="458"/>
      <c r="E678" s="458"/>
      <c r="F678" s="458"/>
      <c r="G678" s="458"/>
      <c r="H678" s="458"/>
      <c r="I678" s="458"/>
      <c r="J678" s="458"/>
      <c r="K678" s="458"/>
      <c r="L678" s="458"/>
      <c r="M678" s="458"/>
      <c r="N678" s="458"/>
      <c r="O678" s="458"/>
      <c r="P678" s="458"/>
      <c r="Q678" s="458"/>
      <c r="R678" s="458"/>
      <c r="S678" s="458"/>
      <c r="T678" s="458"/>
      <c r="U678" s="458"/>
      <c r="V678" s="458"/>
      <c r="W678" s="458"/>
    </row>
    <row r="679" spans="1:23" ht="15.75" customHeight="1">
      <c r="A679" s="458"/>
      <c r="B679" s="458"/>
      <c r="C679" s="458"/>
      <c r="D679" s="458"/>
      <c r="E679" s="458"/>
      <c r="F679" s="458"/>
      <c r="G679" s="458"/>
      <c r="H679" s="458"/>
      <c r="I679" s="458"/>
      <c r="J679" s="458"/>
      <c r="K679" s="458"/>
      <c r="L679" s="458"/>
      <c r="M679" s="458"/>
      <c r="N679" s="458"/>
      <c r="O679" s="458"/>
      <c r="P679" s="458"/>
      <c r="Q679" s="458"/>
      <c r="R679" s="458"/>
      <c r="S679" s="458"/>
      <c r="T679" s="458"/>
      <c r="U679" s="458"/>
      <c r="V679" s="458"/>
      <c r="W679" s="458"/>
    </row>
    <row r="680" spans="1:23" ht="15.75" customHeight="1">
      <c r="A680" s="458"/>
      <c r="B680" s="458"/>
      <c r="C680" s="458"/>
      <c r="D680" s="458"/>
      <c r="E680" s="458"/>
      <c r="F680" s="458"/>
      <c r="G680" s="458"/>
      <c r="H680" s="458"/>
      <c r="I680" s="458"/>
      <c r="J680" s="458"/>
      <c r="K680" s="458"/>
      <c r="L680" s="458"/>
      <c r="M680" s="458"/>
      <c r="N680" s="458"/>
      <c r="O680" s="458"/>
      <c r="P680" s="458"/>
      <c r="Q680" s="458"/>
      <c r="R680" s="458"/>
      <c r="S680" s="458"/>
      <c r="T680" s="458"/>
      <c r="U680" s="458"/>
      <c r="V680" s="458"/>
      <c r="W680" s="458"/>
    </row>
    <row r="681" spans="1:23" ht="15.75" customHeight="1">
      <c r="A681" s="458"/>
      <c r="B681" s="458"/>
      <c r="C681" s="458"/>
      <c r="D681" s="458"/>
      <c r="E681" s="458"/>
      <c r="F681" s="458"/>
      <c r="G681" s="458"/>
      <c r="H681" s="458"/>
      <c r="I681" s="458"/>
      <c r="J681" s="458"/>
      <c r="K681" s="458"/>
      <c r="L681" s="458"/>
      <c r="M681" s="458"/>
      <c r="N681" s="458"/>
      <c r="O681" s="458"/>
      <c r="P681" s="458"/>
      <c r="Q681" s="458"/>
      <c r="R681" s="458"/>
      <c r="S681" s="458"/>
      <c r="T681" s="458"/>
      <c r="U681" s="458"/>
      <c r="V681" s="458"/>
      <c r="W681" s="458"/>
    </row>
    <row r="682" spans="1:23" ht="15.75" customHeight="1">
      <c r="A682" s="458"/>
      <c r="B682" s="458"/>
      <c r="C682" s="458"/>
      <c r="D682" s="458"/>
      <c r="E682" s="458"/>
      <c r="F682" s="458"/>
      <c r="G682" s="458"/>
      <c r="H682" s="458"/>
      <c r="I682" s="458"/>
      <c r="J682" s="458"/>
      <c r="K682" s="458"/>
      <c r="L682" s="458"/>
      <c r="M682" s="458"/>
      <c r="N682" s="458"/>
      <c r="O682" s="458"/>
      <c r="P682" s="458"/>
      <c r="Q682" s="458"/>
      <c r="R682" s="458"/>
      <c r="S682" s="458"/>
      <c r="T682" s="458"/>
      <c r="U682" s="458"/>
      <c r="V682" s="458"/>
      <c r="W682" s="458"/>
    </row>
    <row r="683" spans="1:23" ht="15.75" customHeight="1">
      <c r="A683" s="458"/>
      <c r="B683" s="458"/>
      <c r="C683" s="458"/>
      <c r="D683" s="458"/>
      <c r="E683" s="458"/>
      <c r="F683" s="458"/>
      <c r="G683" s="458"/>
      <c r="H683" s="458"/>
      <c r="I683" s="458"/>
      <c r="J683" s="458"/>
      <c r="K683" s="458"/>
      <c r="L683" s="458"/>
      <c r="M683" s="458"/>
      <c r="N683" s="458"/>
      <c r="O683" s="458"/>
      <c r="P683" s="458"/>
      <c r="Q683" s="458"/>
      <c r="R683" s="458"/>
      <c r="S683" s="458"/>
      <c r="T683" s="458"/>
      <c r="U683" s="458"/>
      <c r="V683" s="458"/>
      <c r="W683" s="458"/>
    </row>
    <row r="684" spans="1:23" ht="15.75" customHeight="1">
      <c r="A684" s="458"/>
      <c r="B684" s="458"/>
      <c r="C684" s="458"/>
      <c r="D684" s="458"/>
      <c r="E684" s="458"/>
      <c r="F684" s="458"/>
      <c r="G684" s="458"/>
      <c r="H684" s="458"/>
      <c r="I684" s="458"/>
      <c r="J684" s="458"/>
      <c r="K684" s="458"/>
      <c r="L684" s="458"/>
      <c r="M684" s="458"/>
      <c r="N684" s="458"/>
      <c r="O684" s="458"/>
      <c r="P684" s="458"/>
      <c r="Q684" s="458"/>
      <c r="R684" s="458"/>
      <c r="S684" s="458"/>
      <c r="T684" s="458"/>
      <c r="U684" s="458"/>
      <c r="V684" s="458"/>
      <c r="W684" s="458"/>
    </row>
    <row r="685" spans="1:23" ht="15.75" customHeight="1">
      <c r="A685" s="458"/>
      <c r="B685" s="458"/>
      <c r="C685" s="458"/>
      <c r="D685" s="458"/>
      <c r="E685" s="458"/>
      <c r="F685" s="458"/>
      <c r="G685" s="458"/>
      <c r="H685" s="458"/>
      <c r="I685" s="458"/>
      <c r="J685" s="458"/>
      <c r="K685" s="458"/>
      <c r="L685" s="458"/>
      <c r="M685" s="458"/>
      <c r="N685" s="458"/>
      <c r="O685" s="458"/>
      <c r="P685" s="458"/>
      <c r="Q685" s="458"/>
      <c r="R685" s="458"/>
      <c r="S685" s="458"/>
      <c r="T685" s="458"/>
      <c r="U685" s="458"/>
      <c r="V685" s="458"/>
      <c r="W685" s="458"/>
    </row>
    <row r="686" spans="1:23" ht="15.75" customHeight="1">
      <c r="A686" s="458"/>
      <c r="B686" s="458"/>
      <c r="C686" s="458"/>
      <c r="D686" s="458"/>
      <c r="E686" s="458"/>
      <c r="F686" s="458"/>
      <c r="G686" s="458"/>
      <c r="H686" s="458"/>
      <c r="I686" s="458"/>
      <c r="J686" s="458"/>
      <c r="K686" s="458"/>
      <c r="L686" s="458"/>
      <c r="M686" s="458"/>
      <c r="N686" s="458"/>
      <c r="O686" s="458"/>
      <c r="P686" s="458"/>
      <c r="Q686" s="458"/>
      <c r="R686" s="458"/>
      <c r="S686" s="458"/>
      <c r="T686" s="458"/>
      <c r="U686" s="458"/>
      <c r="V686" s="458"/>
      <c r="W686" s="458"/>
    </row>
    <row r="687" spans="1:23" ht="15.75" customHeight="1">
      <c r="A687" s="458"/>
      <c r="B687" s="458"/>
      <c r="C687" s="458"/>
      <c r="D687" s="458"/>
      <c r="E687" s="458"/>
      <c r="F687" s="458"/>
      <c r="G687" s="458"/>
      <c r="H687" s="458"/>
      <c r="I687" s="458"/>
      <c r="J687" s="458"/>
      <c r="K687" s="458"/>
      <c r="L687" s="458"/>
      <c r="M687" s="458"/>
      <c r="N687" s="458"/>
      <c r="O687" s="458"/>
      <c r="P687" s="458"/>
      <c r="Q687" s="458"/>
      <c r="R687" s="458"/>
      <c r="S687" s="458"/>
      <c r="T687" s="458"/>
      <c r="U687" s="458"/>
      <c r="V687" s="458"/>
      <c r="W687" s="458"/>
    </row>
    <row r="688" spans="1:23" ht="15.75" customHeight="1">
      <c r="A688" s="458"/>
      <c r="B688" s="458"/>
      <c r="C688" s="458"/>
      <c r="D688" s="458"/>
      <c r="E688" s="458"/>
      <c r="F688" s="458"/>
      <c r="G688" s="458"/>
      <c r="H688" s="458"/>
      <c r="I688" s="458"/>
      <c r="J688" s="458"/>
      <c r="K688" s="458"/>
      <c r="L688" s="458"/>
      <c r="M688" s="458"/>
      <c r="N688" s="458"/>
      <c r="O688" s="458"/>
      <c r="P688" s="458"/>
      <c r="Q688" s="458"/>
      <c r="R688" s="458"/>
      <c r="S688" s="458"/>
      <c r="T688" s="458"/>
      <c r="U688" s="458"/>
      <c r="V688" s="458"/>
      <c r="W688" s="458"/>
    </row>
    <row r="689" spans="1:23" ht="15.75" customHeight="1">
      <c r="A689" s="458"/>
      <c r="B689" s="458"/>
      <c r="C689" s="458"/>
      <c r="D689" s="458"/>
      <c r="E689" s="458"/>
      <c r="F689" s="458"/>
      <c r="G689" s="458"/>
      <c r="H689" s="458"/>
      <c r="I689" s="458"/>
      <c r="J689" s="458"/>
      <c r="K689" s="458"/>
      <c r="L689" s="458"/>
      <c r="M689" s="458"/>
      <c r="N689" s="458"/>
      <c r="O689" s="458"/>
      <c r="P689" s="458"/>
      <c r="Q689" s="458"/>
      <c r="R689" s="458"/>
      <c r="S689" s="458"/>
      <c r="T689" s="458"/>
      <c r="U689" s="458"/>
      <c r="V689" s="458"/>
      <c r="W689" s="458"/>
    </row>
    <row r="690" spans="1:23" ht="15.75" customHeight="1">
      <c r="A690" s="458"/>
      <c r="B690" s="458"/>
      <c r="C690" s="458"/>
      <c r="D690" s="458"/>
      <c r="E690" s="458"/>
      <c r="F690" s="458"/>
      <c r="G690" s="458"/>
      <c r="H690" s="458"/>
      <c r="I690" s="458"/>
      <c r="J690" s="458"/>
      <c r="K690" s="458"/>
      <c r="L690" s="458"/>
      <c r="M690" s="458"/>
      <c r="N690" s="458"/>
      <c r="O690" s="458"/>
      <c r="P690" s="458"/>
      <c r="Q690" s="458"/>
      <c r="R690" s="458"/>
      <c r="S690" s="458"/>
      <c r="T690" s="458"/>
      <c r="U690" s="458"/>
      <c r="V690" s="458"/>
      <c r="W690" s="458"/>
    </row>
    <row r="691" spans="1:23" ht="15.75" customHeight="1">
      <c r="A691" s="458"/>
      <c r="B691" s="458"/>
      <c r="C691" s="458"/>
      <c r="D691" s="458"/>
      <c r="E691" s="458"/>
      <c r="F691" s="458"/>
      <c r="G691" s="458"/>
      <c r="H691" s="458"/>
      <c r="I691" s="458"/>
      <c r="J691" s="458"/>
      <c r="K691" s="458"/>
      <c r="L691" s="458"/>
      <c r="M691" s="458"/>
      <c r="N691" s="458"/>
      <c r="O691" s="458"/>
      <c r="P691" s="458"/>
      <c r="Q691" s="458"/>
      <c r="R691" s="458"/>
      <c r="S691" s="458"/>
      <c r="T691" s="458"/>
      <c r="U691" s="458"/>
      <c r="V691" s="458"/>
      <c r="W691" s="458"/>
    </row>
    <row r="692" spans="1:23" ht="15.75" customHeight="1">
      <c r="A692" s="458"/>
      <c r="B692" s="458"/>
      <c r="C692" s="458"/>
      <c r="D692" s="458"/>
      <c r="E692" s="458"/>
      <c r="F692" s="458"/>
      <c r="G692" s="458"/>
      <c r="H692" s="458"/>
      <c r="I692" s="458"/>
      <c r="J692" s="458"/>
      <c r="K692" s="458"/>
      <c r="L692" s="458"/>
      <c r="M692" s="458"/>
      <c r="N692" s="458"/>
      <c r="O692" s="458"/>
      <c r="P692" s="458"/>
      <c r="Q692" s="458"/>
      <c r="R692" s="458"/>
      <c r="S692" s="458"/>
      <c r="T692" s="458"/>
      <c r="U692" s="458"/>
      <c r="V692" s="458"/>
      <c r="W692" s="458"/>
    </row>
    <row r="693" spans="1:23" ht="15.75" customHeight="1">
      <c r="A693" s="458"/>
      <c r="B693" s="458"/>
      <c r="C693" s="458"/>
      <c r="D693" s="458"/>
      <c r="E693" s="458"/>
      <c r="F693" s="458"/>
      <c r="G693" s="458"/>
      <c r="H693" s="458"/>
      <c r="I693" s="458"/>
      <c r="J693" s="458"/>
      <c r="K693" s="458"/>
      <c r="L693" s="458"/>
      <c r="M693" s="458"/>
      <c r="N693" s="458"/>
      <c r="O693" s="458"/>
      <c r="P693" s="458"/>
      <c r="Q693" s="458"/>
      <c r="R693" s="458"/>
      <c r="S693" s="458"/>
      <c r="T693" s="458"/>
      <c r="U693" s="458"/>
      <c r="V693" s="458"/>
      <c r="W693" s="458"/>
    </row>
    <row r="694" spans="1:23" ht="15.75" customHeight="1">
      <c r="A694" s="458"/>
      <c r="B694" s="458"/>
      <c r="C694" s="458"/>
      <c r="D694" s="458"/>
      <c r="E694" s="458"/>
      <c r="F694" s="458"/>
      <c r="G694" s="458"/>
      <c r="H694" s="458"/>
      <c r="I694" s="458"/>
      <c r="J694" s="458"/>
      <c r="K694" s="458"/>
      <c r="L694" s="458"/>
      <c r="M694" s="458"/>
      <c r="N694" s="458"/>
      <c r="O694" s="458"/>
      <c r="P694" s="458"/>
      <c r="Q694" s="458"/>
      <c r="R694" s="458"/>
      <c r="S694" s="458"/>
      <c r="T694" s="458"/>
      <c r="U694" s="458"/>
      <c r="V694" s="458"/>
      <c r="W694" s="458"/>
    </row>
    <row r="695" spans="1:23" ht="15.75" customHeight="1">
      <c r="A695" s="458"/>
      <c r="B695" s="458"/>
      <c r="C695" s="458"/>
      <c r="D695" s="458"/>
      <c r="E695" s="458"/>
      <c r="F695" s="458"/>
      <c r="G695" s="458"/>
      <c r="H695" s="458"/>
      <c r="I695" s="458"/>
      <c r="J695" s="458"/>
      <c r="K695" s="458"/>
      <c r="L695" s="458"/>
      <c r="M695" s="458"/>
      <c r="N695" s="458"/>
      <c r="O695" s="458"/>
      <c r="P695" s="458"/>
      <c r="Q695" s="458"/>
      <c r="R695" s="458"/>
      <c r="S695" s="458"/>
      <c r="T695" s="458"/>
      <c r="U695" s="458"/>
      <c r="V695" s="458"/>
      <c r="W695" s="458"/>
    </row>
    <row r="696" spans="1:23" ht="15.75" customHeight="1">
      <c r="A696" s="458"/>
      <c r="B696" s="458"/>
      <c r="C696" s="458"/>
      <c r="D696" s="458"/>
      <c r="E696" s="458"/>
      <c r="F696" s="458"/>
      <c r="G696" s="458"/>
      <c r="H696" s="458"/>
      <c r="I696" s="458"/>
      <c r="J696" s="458"/>
      <c r="K696" s="458"/>
      <c r="L696" s="458"/>
      <c r="M696" s="458"/>
      <c r="N696" s="458"/>
      <c r="O696" s="458"/>
      <c r="P696" s="458"/>
      <c r="Q696" s="458"/>
      <c r="R696" s="458"/>
      <c r="S696" s="458"/>
      <c r="T696" s="458"/>
      <c r="U696" s="458"/>
      <c r="V696" s="458"/>
      <c r="W696" s="458"/>
    </row>
    <row r="697" spans="1:23" ht="15.75" customHeight="1">
      <c r="A697" s="458"/>
      <c r="B697" s="458"/>
      <c r="C697" s="458"/>
      <c r="D697" s="458"/>
      <c r="E697" s="458"/>
      <c r="F697" s="458"/>
      <c r="G697" s="458"/>
      <c r="H697" s="458"/>
      <c r="I697" s="458"/>
      <c r="J697" s="458"/>
      <c r="K697" s="458"/>
      <c r="L697" s="458"/>
      <c r="M697" s="458"/>
      <c r="N697" s="458"/>
      <c r="O697" s="458"/>
      <c r="P697" s="458"/>
      <c r="Q697" s="458"/>
      <c r="R697" s="458"/>
      <c r="S697" s="458"/>
      <c r="T697" s="458"/>
      <c r="U697" s="458"/>
      <c r="V697" s="458"/>
      <c r="W697" s="458"/>
    </row>
    <row r="698" spans="1:23" ht="15.75" customHeight="1">
      <c r="A698" s="458"/>
      <c r="B698" s="458"/>
      <c r="C698" s="458"/>
      <c r="D698" s="458"/>
      <c r="E698" s="458"/>
      <c r="F698" s="458"/>
      <c r="G698" s="458"/>
      <c r="H698" s="458"/>
      <c r="I698" s="458"/>
      <c r="J698" s="458"/>
      <c r="K698" s="458"/>
      <c r="L698" s="458"/>
      <c r="M698" s="458"/>
      <c r="N698" s="458"/>
      <c r="O698" s="458"/>
      <c r="P698" s="458"/>
      <c r="Q698" s="458"/>
      <c r="R698" s="458"/>
      <c r="S698" s="458"/>
      <c r="T698" s="458"/>
      <c r="U698" s="458"/>
      <c r="V698" s="458"/>
      <c r="W698" s="458"/>
    </row>
    <row r="699" spans="1:23" ht="15.75" customHeight="1">
      <c r="A699" s="458"/>
      <c r="B699" s="458"/>
      <c r="C699" s="458"/>
      <c r="D699" s="458"/>
      <c r="E699" s="458"/>
      <c r="F699" s="458"/>
      <c r="G699" s="458"/>
      <c r="H699" s="458"/>
      <c r="I699" s="458"/>
      <c r="J699" s="458"/>
      <c r="K699" s="458"/>
      <c r="L699" s="458"/>
      <c r="M699" s="458"/>
      <c r="N699" s="458"/>
      <c r="O699" s="458"/>
      <c r="P699" s="458"/>
      <c r="Q699" s="458"/>
      <c r="R699" s="458"/>
      <c r="S699" s="458"/>
      <c r="T699" s="458"/>
      <c r="U699" s="458"/>
      <c r="V699" s="458"/>
      <c r="W699" s="458"/>
    </row>
    <row r="700" spans="1:23" ht="15.75" customHeight="1">
      <c r="A700" s="458"/>
      <c r="B700" s="458"/>
      <c r="C700" s="458"/>
      <c r="D700" s="458"/>
      <c r="E700" s="458"/>
      <c r="F700" s="458"/>
      <c r="G700" s="458"/>
      <c r="H700" s="458"/>
      <c r="I700" s="458"/>
      <c r="J700" s="458"/>
      <c r="K700" s="458"/>
      <c r="L700" s="458"/>
      <c r="M700" s="458"/>
      <c r="N700" s="458"/>
      <c r="O700" s="458"/>
      <c r="P700" s="458"/>
      <c r="Q700" s="458"/>
      <c r="R700" s="458"/>
      <c r="S700" s="458"/>
      <c r="T700" s="458"/>
      <c r="U700" s="458"/>
      <c r="V700" s="458"/>
      <c r="W700" s="458"/>
    </row>
    <row r="701" spans="1:23" ht="15.75" customHeight="1">
      <c r="A701" s="458"/>
      <c r="B701" s="458"/>
      <c r="C701" s="458"/>
      <c r="D701" s="458"/>
      <c r="E701" s="458"/>
      <c r="F701" s="458"/>
      <c r="G701" s="458"/>
      <c r="H701" s="458"/>
      <c r="I701" s="458"/>
      <c r="J701" s="458"/>
      <c r="K701" s="458"/>
      <c r="L701" s="458"/>
      <c r="M701" s="458"/>
      <c r="N701" s="458"/>
      <c r="O701" s="458"/>
      <c r="P701" s="458"/>
      <c r="Q701" s="458"/>
      <c r="R701" s="458"/>
      <c r="S701" s="458"/>
      <c r="T701" s="458"/>
      <c r="U701" s="458"/>
      <c r="V701" s="458"/>
      <c r="W701" s="458"/>
    </row>
    <row r="702" spans="1:23" ht="15.75" customHeight="1">
      <c r="A702" s="458"/>
      <c r="B702" s="458"/>
      <c r="C702" s="458"/>
      <c r="D702" s="458"/>
      <c r="E702" s="458"/>
      <c r="F702" s="458"/>
      <c r="G702" s="458"/>
      <c r="H702" s="458"/>
      <c r="I702" s="458"/>
      <c r="J702" s="458"/>
      <c r="K702" s="458"/>
      <c r="L702" s="458"/>
      <c r="M702" s="458"/>
      <c r="N702" s="458"/>
      <c r="O702" s="458"/>
      <c r="P702" s="458"/>
      <c r="Q702" s="458"/>
      <c r="R702" s="458"/>
      <c r="S702" s="458"/>
      <c r="T702" s="458"/>
      <c r="U702" s="458"/>
      <c r="V702" s="458"/>
      <c r="W702" s="458"/>
    </row>
    <row r="703" spans="1:23" ht="15.75" customHeight="1">
      <c r="A703" s="458"/>
      <c r="B703" s="458"/>
      <c r="C703" s="458"/>
      <c r="D703" s="458"/>
      <c r="E703" s="458"/>
      <c r="F703" s="458"/>
      <c r="G703" s="458"/>
      <c r="H703" s="458"/>
      <c r="I703" s="458"/>
      <c r="J703" s="458"/>
      <c r="K703" s="458"/>
      <c r="L703" s="458"/>
      <c r="M703" s="458"/>
      <c r="N703" s="458"/>
      <c r="O703" s="458"/>
      <c r="P703" s="458"/>
      <c r="Q703" s="458"/>
      <c r="R703" s="458"/>
      <c r="S703" s="458"/>
      <c r="T703" s="458"/>
      <c r="U703" s="458"/>
      <c r="V703" s="458"/>
      <c r="W703" s="458"/>
    </row>
    <row r="704" spans="1:23" ht="15.75" customHeight="1">
      <c r="A704" s="458"/>
      <c r="B704" s="458"/>
      <c r="C704" s="458"/>
      <c r="D704" s="458"/>
      <c r="E704" s="458"/>
      <c r="F704" s="458"/>
      <c r="G704" s="458"/>
      <c r="H704" s="458"/>
      <c r="I704" s="458"/>
      <c r="J704" s="458"/>
      <c r="K704" s="458"/>
      <c r="L704" s="458"/>
      <c r="M704" s="458"/>
      <c r="N704" s="458"/>
      <c r="O704" s="458"/>
      <c r="P704" s="458"/>
      <c r="Q704" s="458"/>
      <c r="R704" s="458"/>
      <c r="S704" s="458"/>
      <c r="T704" s="458"/>
      <c r="U704" s="458"/>
      <c r="V704" s="458"/>
      <c r="W704" s="458"/>
    </row>
    <row r="705" spans="1:23" ht="15.75" customHeight="1">
      <c r="A705" s="458"/>
      <c r="B705" s="458"/>
      <c r="C705" s="458"/>
      <c r="D705" s="458"/>
      <c r="E705" s="458"/>
      <c r="F705" s="458"/>
      <c r="G705" s="458"/>
      <c r="H705" s="458"/>
      <c r="I705" s="458"/>
      <c r="J705" s="458"/>
      <c r="K705" s="458"/>
      <c r="L705" s="458"/>
      <c r="M705" s="458"/>
      <c r="N705" s="458"/>
      <c r="O705" s="458"/>
      <c r="P705" s="458"/>
      <c r="Q705" s="458"/>
      <c r="R705" s="458"/>
      <c r="S705" s="458"/>
      <c r="T705" s="458"/>
      <c r="U705" s="458"/>
      <c r="V705" s="458"/>
      <c r="W705" s="458"/>
    </row>
    <row r="706" spans="1:23" ht="15.75" customHeight="1">
      <c r="A706" s="458"/>
      <c r="B706" s="458"/>
      <c r="C706" s="458"/>
      <c r="D706" s="458"/>
      <c r="E706" s="458"/>
      <c r="F706" s="458"/>
      <c r="G706" s="458"/>
      <c r="H706" s="458"/>
      <c r="I706" s="458"/>
      <c r="J706" s="458"/>
      <c r="K706" s="458"/>
      <c r="L706" s="458"/>
      <c r="M706" s="458"/>
      <c r="N706" s="458"/>
      <c r="O706" s="458"/>
      <c r="P706" s="458"/>
      <c r="Q706" s="458"/>
      <c r="R706" s="458"/>
      <c r="S706" s="458"/>
      <c r="T706" s="458"/>
      <c r="U706" s="458"/>
      <c r="V706" s="458"/>
      <c r="W706" s="458"/>
    </row>
    <row r="707" spans="1:23" ht="15.75" customHeight="1">
      <c r="A707" s="458"/>
      <c r="B707" s="458"/>
      <c r="C707" s="458"/>
      <c r="D707" s="458"/>
      <c r="E707" s="458"/>
      <c r="F707" s="458"/>
      <c r="G707" s="458"/>
      <c r="H707" s="458"/>
      <c r="I707" s="458"/>
      <c r="J707" s="458"/>
      <c r="K707" s="458"/>
      <c r="L707" s="458"/>
      <c r="M707" s="458"/>
      <c r="N707" s="458"/>
      <c r="O707" s="458"/>
      <c r="P707" s="458"/>
      <c r="Q707" s="458"/>
      <c r="R707" s="458"/>
      <c r="S707" s="458"/>
      <c r="T707" s="458"/>
      <c r="U707" s="458"/>
      <c r="V707" s="458"/>
      <c r="W707" s="458"/>
    </row>
    <row r="708" spans="1:23" ht="15.75" customHeight="1">
      <c r="A708" s="458"/>
      <c r="B708" s="458"/>
      <c r="C708" s="458"/>
      <c r="D708" s="458"/>
      <c r="E708" s="458"/>
      <c r="F708" s="458"/>
      <c r="G708" s="458"/>
      <c r="H708" s="458"/>
      <c r="I708" s="458"/>
      <c r="J708" s="458"/>
      <c r="K708" s="458"/>
      <c r="L708" s="458"/>
      <c r="M708" s="458"/>
      <c r="N708" s="458"/>
      <c r="O708" s="458"/>
      <c r="P708" s="458"/>
      <c r="Q708" s="458"/>
      <c r="R708" s="458"/>
      <c r="S708" s="458"/>
      <c r="T708" s="458"/>
      <c r="U708" s="458"/>
      <c r="V708" s="458"/>
      <c r="W708" s="458"/>
    </row>
    <row r="709" spans="1:23" ht="15.75" customHeight="1">
      <c r="A709" s="458"/>
      <c r="B709" s="458"/>
      <c r="C709" s="458"/>
      <c r="D709" s="458"/>
      <c r="E709" s="458"/>
      <c r="F709" s="458"/>
      <c r="G709" s="458"/>
      <c r="H709" s="458"/>
      <c r="I709" s="458"/>
      <c r="J709" s="458"/>
      <c r="K709" s="458"/>
      <c r="L709" s="458"/>
      <c r="M709" s="458"/>
      <c r="N709" s="458"/>
      <c r="O709" s="458"/>
      <c r="P709" s="458"/>
      <c r="Q709" s="458"/>
      <c r="R709" s="458"/>
      <c r="S709" s="458"/>
      <c r="T709" s="458"/>
      <c r="U709" s="458"/>
      <c r="V709" s="458"/>
      <c r="W709" s="458"/>
    </row>
    <row r="710" spans="1:23" ht="15.75" customHeight="1">
      <c r="A710" s="458"/>
      <c r="B710" s="458"/>
      <c r="C710" s="458"/>
      <c r="D710" s="458"/>
      <c r="E710" s="458"/>
      <c r="F710" s="458"/>
      <c r="G710" s="458"/>
      <c r="H710" s="458"/>
      <c r="I710" s="458"/>
      <c r="J710" s="458"/>
      <c r="K710" s="458"/>
      <c r="L710" s="458"/>
      <c r="M710" s="458"/>
      <c r="N710" s="458"/>
      <c r="O710" s="458"/>
      <c r="P710" s="458"/>
      <c r="Q710" s="458"/>
      <c r="R710" s="458"/>
      <c r="S710" s="458"/>
      <c r="T710" s="458"/>
      <c r="U710" s="458"/>
      <c r="V710" s="458"/>
      <c r="W710" s="458"/>
    </row>
    <row r="711" spans="1:23" ht="15.75" customHeight="1">
      <c r="A711" s="458"/>
      <c r="B711" s="458"/>
      <c r="C711" s="458"/>
      <c r="D711" s="458"/>
      <c r="E711" s="458"/>
      <c r="F711" s="458"/>
      <c r="G711" s="458"/>
      <c r="H711" s="458"/>
      <c r="I711" s="458"/>
      <c r="J711" s="458"/>
      <c r="K711" s="458"/>
      <c r="L711" s="458"/>
      <c r="M711" s="458"/>
      <c r="N711" s="458"/>
      <c r="O711" s="458"/>
      <c r="P711" s="458"/>
      <c r="Q711" s="458"/>
      <c r="R711" s="458"/>
      <c r="S711" s="458"/>
      <c r="T711" s="458"/>
      <c r="U711" s="458"/>
      <c r="V711" s="458"/>
      <c r="W711" s="458"/>
    </row>
    <row r="712" spans="1:23" ht="15.75" customHeight="1">
      <c r="A712" s="458"/>
      <c r="B712" s="458"/>
      <c r="C712" s="458"/>
      <c r="D712" s="458"/>
      <c r="E712" s="458"/>
      <c r="F712" s="458"/>
      <c r="G712" s="458"/>
      <c r="H712" s="458"/>
      <c r="I712" s="458"/>
      <c r="J712" s="458"/>
      <c r="K712" s="458"/>
      <c r="L712" s="458"/>
      <c r="M712" s="458"/>
      <c r="N712" s="458"/>
      <c r="O712" s="458"/>
      <c r="P712" s="458"/>
      <c r="Q712" s="458"/>
      <c r="R712" s="458"/>
      <c r="S712" s="458"/>
      <c r="T712" s="458"/>
      <c r="U712" s="458"/>
      <c r="V712" s="458"/>
      <c r="W712" s="458"/>
    </row>
    <row r="713" spans="1:23" ht="15.75" customHeight="1">
      <c r="A713" s="458"/>
      <c r="B713" s="458"/>
      <c r="C713" s="458"/>
      <c r="D713" s="458"/>
      <c r="E713" s="458"/>
      <c r="F713" s="458"/>
      <c r="G713" s="458"/>
      <c r="H713" s="458"/>
      <c r="I713" s="458"/>
      <c r="J713" s="458"/>
      <c r="K713" s="458"/>
      <c r="L713" s="458"/>
      <c r="M713" s="458"/>
      <c r="N713" s="458"/>
      <c r="O713" s="458"/>
      <c r="P713" s="458"/>
      <c r="Q713" s="458"/>
      <c r="R713" s="458"/>
      <c r="S713" s="458"/>
      <c r="T713" s="458"/>
      <c r="U713" s="458"/>
      <c r="V713" s="458"/>
      <c r="W713" s="458"/>
    </row>
    <row r="714" spans="1:23" ht="15.75" customHeight="1">
      <c r="A714" s="458"/>
      <c r="B714" s="458"/>
      <c r="C714" s="458"/>
      <c r="D714" s="458"/>
      <c r="E714" s="458"/>
      <c r="F714" s="458"/>
      <c r="G714" s="458"/>
      <c r="H714" s="458"/>
      <c r="I714" s="458"/>
      <c r="J714" s="458"/>
      <c r="K714" s="458"/>
      <c r="L714" s="458"/>
      <c r="M714" s="458"/>
      <c r="N714" s="458"/>
      <c r="O714" s="458"/>
      <c r="P714" s="458"/>
      <c r="Q714" s="458"/>
      <c r="R714" s="458"/>
      <c r="S714" s="458"/>
      <c r="T714" s="458"/>
      <c r="U714" s="458"/>
      <c r="V714" s="458"/>
      <c r="W714" s="458"/>
    </row>
    <row r="715" spans="1:23" ht="15.75" customHeight="1">
      <c r="A715" s="458"/>
      <c r="B715" s="458"/>
      <c r="C715" s="458"/>
      <c r="D715" s="458"/>
      <c r="E715" s="458"/>
      <c r="F715" s="458"/>
      <c r="G715" s="458"/>
      <c r="H715" s="458"/>
      <c r="I715" s="458"/>
      <c r="J715" s="458"/>
      <c r="K715" s="458"/>
      <c r="L715" s="458"/>
      <c r="M715" s="458"/>
      <c r="N715" s="458"/>
      <c r="O715" s="458"/>
      <c r="P715" s="458"/>
      <c r="Q715" s="458"/>
      <c r="R715" s="458"/>
      <c r="S715" s="458"/>
      <c r="T715" s="458"/>
      <c r="U715" s="458"/>
      <c r="V715" s="458"/>
      <c r="W715" s="458"/>
    </row>
    <row r="716" spans="1:23" ht="15.75" customHeight="1">
      <c r="A716" s="458"/>
      <c r="B716" s="458"/>
      <c r="C716" s="458"/>
      <c r="D716" s="458"/>
      <c r="E716" s="458"/>
      <c r="F716" s="458"/>
      <c r="G716" s="458"/>
      <c r="H716" s="458"/>
      <c r="I716" s="458"/>
      <c r="J716" s="458"/>
      <c r="K716" s="458"/>
      <c r="L716" s="458"/>
      <c r="M716" s="458"/>
      <c r="N716" s="458"/>
      <c r="O716" s="458"/>
      <c r="P716" s="458"/>
      <c r="Q716" s="458"/>
      <c r="R716" s="458"/>
      <c r="S716" s="458"/>
      <c r="T716" s="458"/>
      <c r="U716" s="458"/>
      <c r="V716" s="458"/>
      <c r="W716" s="458"/>
    </row>
    <row r="717" spans="1:23" ht="15.75" customHeight="1">
      <c r="A717" s="458"/>
      <c r="B717" s="458"/>
      <c r="C717" s="458"/>
      <c r="D717" s="458"/>
      <c r="E717" s="458"/>
      <c r="F717" s="458"/>
      <c r="G717" s="458"/>
      <c r="H717" s="458"/>
      <c r="I717" s="458"/>
      <c r="J717" s="458"/>
      <c r="K717" s="458"/>
      <c r="L717" s="458"/>
      <c r="M717" s="458"/>
      <c r="N717" s="458"/>
      <c r="O717" s="458"/>
      <c r="P717" s="458"/>
      <c r="Q717" s="458"/>
      <c r="R717" s="458"/>
      <c r="S717" s="458"/>
      <c r="T717" s="458"/>
      <c r="U717" s="458"/>
      <c r="V717" s="458"/>
      <c r="W717" s="458"/>
    </row>
    <row r="718" spans="1:23" ht="15.75" customHeight="1">
      <c r="A718" s="458"/>
      <c r="B718" s="458"/>
      <c r="C718" s="458"/>
      <c r="D718" s="458"/>
      <c r="E718" s="458"/>
      <c r="F718" s="458"/>
      <c r="G718" s="458"/>
      <c r="H718" s="458"/>
      <c r="I718" s="458"/>
      <c r="J718" s="458"/>
      <c r="K718" s="458"/>
      <c r="L718" s="458"/>
      <c r="M718" s="458"/>
      <c r="N718" s="458"/>
      <c r="O718" s="458"/>
      <c r="P718" s="458"/>
      <c r="Q718" s="458"/>
      <c r="R718" s="458"/>
      <c r="S718" s="458"/>
      <c r="T718" s="458"/>
      <c r="U718" s="458"/>
      <c r="V718" s="458"/>
      <c r="W718" s="458"/>
    </row>
    <row r="719" spans="1:23" ht="15.75" customHeight="1">
      <c r="A719" s="458"/>
      <c r="B719" s="458"/>
      <c r="C719" s="458"/>
      <c r="D719" s="458"/>
      <c r="E719" s="458"/>
      <c r="F719" s="458"/>
      <c r="G719" s="458"/>
      <c r="H719" s="458"/>
      <c r="I719" s="458"/>
      <c r="J719" s="458"/>
      <c r="K719" s="458"/>
      <c r="L719" s="458"/>
      <c r="M719" s="458"/>
      <c r="N719" s="458"/>
      <c r="O719" s="458"/>
      <c r="P719" s="458"/>
      <c r="Q719" s="458"/>
      <c r="R719" s="458"/>
      <c r="S719" s="458"/>
      <c r="T719" s="458"/>
      <c r="U719" s="458"/>
      <c r="V719" s="458"/>
      <c r="W719" s="458"/>
    </row>
    <row r="720" spans="1:23" ht="15.75" customHeight="1">
      <c r="A720" s="458"/>
      <c r="B720" s="458"/>
      <c r="C720" s="458"/>
      <c r="D720" s="458"/>
      <c r="E720" s="458"/>
      <c r="F720" s="458"/>
      <c r="G720" s="458"/>
      <c r="H720" s="458"/>
      <c r="I720" s="458"/>
      <c r="J720" s="458"/>
      <c r="K720" s="458"/>
      <c r="L720" s="458"/>
      <c r="M720" s="458"/>
      <c r="N720" s="458"/>
      <c r="O720" s="458"/>
      <c r="P720" s="458"/>
      <c r="Q720" s="458"/>
      <c r="R720" s="458"/>
      <c r="S720" s="458"/>
      <c r="T720" s="458"/>
      <c r="U720" s="458"/>
      <c r="V720" s="458"/>
      <c r="W720" s="458"/>
    </row>
    <row r="721" spans="1:23" ht="15.75" customHeight="1">
      <c r="A721" s="458"/>
      <c r="B721" s="458"/>
      <c r="C721" s="458"/>
      <c r="D721" s="458"/>
      <c r="E721" s="458"/>
      <c r="F721" s="458"/>
      <c r="G721" s="458"/>
      <c r="H721" s="458"/>
      <c r="I721" s="458"/>
      <c r="J721" s="458"/>
      <c r="K721" s="458"/>
      <c r="L721" s="458"/>
      <c r="M721" s="458"/>
      <c r="N721" s="458"/>
      <c r="O721" s="458"/>
      <c r="P721" s="458"/>
      <c r="Q721" s="458"/>
      <c r="R721" s="458"/>
      <c r="S721" s="458"/>
      <c r="T721" s="458"/>
      <c r="U721" s="458"/>
      <c r="V721" s="458"/>
      <c r="W721" s="458"/>
    </row>
    <row r="722" spans="1:23" ht="15.75" customHeight="1">
      <c r="A722" s="458"/>
      <c r="B722" s="458"/>
      <c r="C722" s="458"/>
      <c r="D722" s="458"/>
      <c r="E722" s="458"/>
      <c r="F722" s="458"/>
      <c r="G722" s="458"/>
      <c r="H722" s="458"/>
      <c r="I722" s="458"/>
      <c r="J722" s="458"/>
      <c r="K722" s="458"/>
      <c r="L722" s="458"/>
      <c r="M722" s="458"/>
      <c r="N722" s="458"/>
      <c r="O722" s="458"/>
      <c r="P722" s="458"/>
      <c r="Q722" s="458"/>
      <c r="R722" s="458"/>
      <c r="S722" s="458"/>
      <c r="T722" s="458"/>
      <c r="U722" s="458"/>
      <c r="V722" s="458"/>
      <c r="W722" s="458"/>
    </row>
    <row r="723" spans="1:23" ht="15.75" customHeight="1">
      <c r="A723" s="458"/>
      <c r="B723" s="458"/>
      <c r="C723" s="458"/>
      <c r="D723" s="458"/>
      <c r="E723" s="458"/>
      <c r="F723" s="458"/>
      <c r="G723" s="458"/>
      <c r="H723" s="458"/>
      <c r="I723" s="458"/>
      <c r="J723" s="458"/>
      <c r="K723" s="458"/>
      <c r="L723" s="458"/>
      <c r="M723" s="458"/>
      <c r="N723" s="458"/>
      <c r="O723" s="458"/>
      <c r="P723" s="458"/>
      <c r="Q723" s="458"/>
      <c r="R723" s="458"/>
      <c r="S723" s="458"/>
      <c r="T723" s="458"/>
      <c r="U723" s="458"/>
      <c r="V723" s="458"/>
      <c r="W723" s="458"/>
    </row>
    <row r="724" spans="1:23" ht="15.75" customHeight="1">
      <c r="A724" s="458"/>
      <c r="B724" s="458"/>
      <c r="C724" s="458"/>
      <c r="D724" s="458"/>
      <c r="E724" s="458"/>
      <c r="F724" s="458"/>
      <c r="G724" s="458"/>
      <c r="H724" s="458"/>
      <c r="I724" s="458"/>
      <c r="J724" s="458"/>
      <c r="K724" s="458"/>
      <c r="L724" s="458"/>
      <c r="M724" s="458"/>
      <c r="N724" s="458"/>
      <c r="O724" s="458"/>
      <c r="P724" s="458"/>
      <c r="Q724" s="458"/>
      <c r="R724" s="458"/>
      <c r="S724" s="458"/>
      <c r="T724" s="458"/>
      <c r="U724" s="458"/>
      <c r="V724" s="458"/>
      <c r="W724" s="458"/>
    </row>
    <row r="725" spans="1:23" ht="15.75" customHeight="1">
      <c r="A725" s="458"/>
      <c r="B725" s="458"/>
      <c r="C725" s="458"/>
      <c r="D725" s="458"/>
      <c r="E725" s="458"/>
      <c r="F725" s="458"/>
      <c r="G725" s="458"/>
      <c r="H725" s="458"/>
      <c r="I725" s="458"/>
      <c r="J725" s="458"/>
      <c r="K725" s="458"/>
      <c r="L725" s="458"/>
      <c r="M725" s="458"/>
      <c r="N725" s="458"/>
      <c r="O725" s="458"/>
      <c r="P725" s="458"/>
      <c r="Q725" s="458"/>
      <c r="R725" s="458"/>
      <c r="S725" s="458"/>
      <c r="T725" s="458"/>
      <c r="U725" s="458"/>
      <c r="V725" s="458"/>
      <c r="W725" s="458"/>
    </row>
    <row r="726" spans="1:23" ht="15.75" customHeight="1">
      <c r="A726" s="458"/>
      <c r="B726" s="458"/>
      <c r="C726" s="458"/>
      <c r="D726" s="458"/>
      <c r="E726" s="458"/>
      <c r="F726" s="458"/>
      <c r="G726" s="458"/>
      <c r="H726" s="458"/>
      <c r="I726" s="458"/>
      <c r="J726" s="458"/>
      <c r="K726" s="458"/>
      <c r="L726" s="458"/>
      <c r="M726" s="458"/>
      <c r="N726" s="458"/>
      <c r="O726" s="458"/>
      <c r="P726" s="458"/>
      <c r="Q726" s="458"/>
      <c r="R726" s="458"/>
      <c r="S726" s="458"/>
      <c r="T726" s="458"/>
      <c r="U726" s="458"/>
      <c r="V726" s="458"/>
      <c r="W726" s="458"/>
    </row>
    <row r="727" spans="1:23" ht="15.75" customHeight="1">
      <c r="A727" s="458"/>
      <c r="B727" s="458"/>
      <c r="C727" s="458"/>
      <c r="D727" s="458"/>
      <c r="E727" s="458"/>
      <c r="F727" s="458"/>
      <c r="G727" s="458"/>
      <c r="H727" s="458"/>
      <c r="I727" s="458"/>
      <c r="J727" s="458"/>
      <c r="K727" s="458"/>
      <c r="L727" s="458"/>
      <c r="M727" s="458"/>
      <c r="N727" s="458"/>
      <c r="O727" s="458"/>
      <c r="P727" s="458"/>
      <c r="Q727" s="458"/>
      <c r="R727" s="458"/>
      <c r="S727" s="458"/>
      <c r="T727" s="458"/>
      <c r="U727" s="458"/>
      <c r="V727" s="458"/>
      <c r="W727" s="458"/>
    </row>
    <row r="728" spans="1:23" ht="15.75" customHeight="1">
      <c r="A728" s="458"/>
      <c r="B728" s="458"/>
      <c r="C728" s="458"/>
      <c r="D728" s="458"/>
      <c r="E728" s="458"/>
      <c r="F728" s="458"/>
      <c r="G728" s="458"/>
      <c r="H728" s="458"/>
      <c r="I728" s="458"/>
      <c r="J728" s="458"/>
      <c r="K728" s="458"/>
      <c r="L728" s="458"/>
      <c r="M728" s="458"/>
      <c r="N728" s="458"/>
      <c r="O728" s="458"/>
      <c r="P728" s="458"/>
      <c r="Q728" s="458"/>
      <c r="R728" s="458"/>
      <c r="S728" s="458"/>
      <c r="T728" s="458"/>
      <c r="U728" s="458"/>
      <c r="V728" s="458"/>
      <c r="W728" s="458"/>
    </row>
    <row r="729" spans="1:23" ht="15.75" customHeight="1">
      <c r="A729" s="458"/>
      <c r="B729" s="458"/>
      <c r="C729" s="458"/>
      <c r="D729" s="458"/>
      <c r="E729" s="458"/>
      <c r="F729" s="458"/>
      <c r="G729" s="458"/>
      <c r="H729" s="458"/>
      <c r="I729" s="458"/>
      <c r="J729" s="458"/>
      <c r="K729" s="458"/>
      <c r="L729" s="458"/>
      <c r="M729" s="458"/>
      <c r="N729" s="458"/>
      <c r="O729" s="458"/>
      <c r="P729" s="458"/>
      <c r="Q729" s="458"/>
      <c r="R729" s="458"/>
      <c r="S729" s="458"/>
      <c r="T729" s="458"/>
      <c r="U729" s="458"/>
      <c r="V729" s="458"/>
      <c r="W729" s="458"/>
    </row>
    <row r="730" spans="1:23" ht="15.75" customHeight="1">
      <c r="A730" s="458"/>
      <c r="B730" s="458"/>
      <c r="C730" s="458"/>
      <c r="D730" s="458"/>
      <c r="E730" s="458"/>
      <c r="F730" s="458"/>
      <c r="G730" s="458"/>
      <c r="H730" s="458"/>
      <c r="I730" s="458"/>
      <c r="J730" s="458"/>
      <c r="K730" s="458"/>
      <c r="L730" s="458"/>
      <c r="M730" s="458"/>
      <c r="N730" s="458"/>
      <c r="O730" s="458"/>
      <c r="P730" s="458"/>
      <c r="Q730" s="458"/>
      <c r="R730" s="458"/>
      <c r="S730" s="458"/>
      <c r="T730" s="458"/>
      <c r="U730" s="458"/>
      <c r="V730" s="458"/>
      <c r="W730" s="458"/>
    </row>
    <row r="731" spans="1:23" ht="15.75" customHeight="1">
      <c r="A731" s="458"/>
      <c r="B731" s="458"/>
      <c r="C731" s="458"/>
      <c r="D731" s="458"/>
      <c r="E731" s="458"/>
      <c r="F731" s="458"/>
      <c r="G731" s="458"/>
      <c r="H731" s="458"/>
      <c r="I731" s="458"/>
      <c r="J731" s="458"/>
      <c r="K731" s="458"/>
      <c r="L731" s="458"/>
      <c r="M731" s="458"/>
      <c r="N731" s="458"/>
      <c r="O731" s="458"/>
      <c r="P731" s="458"/>
      <c r="Q731" s="458"/>
      <c r="R731" s="458"/>
      <c r="S731" s="458"/>
      <c r="T731" s="458"/>
      <c r="U731" s="458"/>
      <c r="V731" s="458"/>
      <c r="W731" s="458"/>
    </row>
    <row r="732" spans="1:23" ht="15.75" customHeight="1">
      <c r="A732" s="458"/>
      <c r="B732" s="458"/>
      <c r="C732" s="458"/>
      <c r="D732" s="458"/>
      <c r="E732" s="458"/>
      <c r="F732" s="458"/>
      <c r="G732" s="458"/>
      <c r="H732" s="458"/>
      <c r="I732" s="458"/>
      <c r="J732" s="458"/>
      <c r="K732" s="458"/>
      <c r="L732" s="458"/>
      <c r="M732" s="458"/>
      <c r="N732" s="458"/>
      <c r="O732" s="458"/>
      <c r="P732" s="458"/>
      <c r="Q732" s="458"/>
      <c r="R732" s="458"/>
      <c r="S732" s="458"/>
      <c r="T732" s="458"/>
      <c r="U732" s="458"/>
      <c r="V732" s="458"/>
      <c r="W732" s="458"/>
    </row>
    <row r="733" spans="1:23" ht="15.75" customHeight="1">
      <c r="A733" s="458"/>
      <c r="B733" s="458"/>
      <c r="C733" s="458"/>
      <c r="D733" s="458"/>
      <c r="E733" s="458"/>
      <c r="F733" s="458"/>
      <c r="G733" s="458"/>
      <c r="H733" s="458"/>
      <c r="I733" s="458"/>
      <c r="J733" s="458"/>
      <c r="K733" s="458"/>
      <c r="L733" s="458"/>
      <c r="M733" s="458"/>
      <c r="N733" s="458"/>
      <c r="O733" s="458"/>
      <c r="P733" s="458"/>
      <c r="Q733" s="458"/>
      <c r="R733" s="458"/>
      <c r="S733" s="458"/>
      <c r="T733" s="458"/>
      <c r="U733" s="458"/>
      <c r="V733" s="458"/>
      <c r="W733" s="458"/>
    </row>
    <row r="734" spans="1:23" ht="15.75" customHeight="1">
      <c r="A734" s="458"/>
      <c r="B734" s="458"/>
      <c r="C734" s="458"/>
      <c r="D734" s="458"/>
      <c r="E734" s="458"/>
      <c r="F734" s="458"/>
      <c r="G734" s="458"/>
      <c r="H734" s="458"/>
      <c r="I734" s="458"/>
      <c r="J734" s="458"/>
      <c r="K734" s="458"/>
      <c r="L734" s="458"/>
      <c r="M734" s="458"/>
      <c r="N734" s="458"/>
      <c r="O734" s="458"/>
      <c r="P734" s="458"/>
      <c r="Q734" s="458"/>
      <c r="R734" s="458"/>
      <c r="S734" s="458"/>
      <c r="T734" s="458"/>
      <c r="U734" s="458"/>
      <c r="V734" s="458"/>
      <c r="W734" s="458"/>
    </row>
    <row r="735" spans="1:23" ht="15.75" customHeight="1">
      <c r="A735" s="458"/>
      <c r="B735" s="458"/>
      <c r="C735" s="458"/>
      <c r="D735" s="458"/>
      <c r="E735" s="458"/>
      <c r="F735" s="458"/>
      <c r="G735" s="458"/>
      <c r="H735" s="458"/>
      <c r="I735" s="458"/>
      <c r="J735" s="458"/>
      <c r="K735" s="458"/>
      <c r="L735" s="458"/>
      <c r="M735" s="458"/>
      <c r="N735" s="458"/>
      <c r="O735" s="458"/>
      <c r="P735" s="458"/>
      <c r="Q735" s="458"/>
      <c r="R735" s="458"/>
      <c r="S735" s="458"/>
      <c r="T735" s="458"/>
      <c r="U735" s="458"/>
      <c r="V735" s="458"/>
      <c r="W735" s="458"/>
    </row>
    <row r="736" spans="1:23" ht="15.75" customHeight="1">
      <c r="A736" s="458"/>
      <c r="B736" s="458"/>
      <c r="C736" s="458"/>
      <c r="D736" s="458"/>
      <c r="E736" s="458"/>
      <c r="F736" s="458"/>
      <c r="G736" s="458"/>
      <c r="H736" s="458"/>
      <c r="I736" s="458"/>
      <c r="J736" s="458"/>
      <c r="K736" s="458"/>
      <c r="L736" s="458"/>
      <c r="M736" s="458"/>
      <c r="N736" s="458"/>
      <c r="O736" s="458"/>
      <c r="P736" s="458"/>
      <c r="Q736" s="458"/>
      <c r="R736" s="458"/>
      <c r="S736" s="458"/>
      <c r="T736" s="458"/>
      <c r="U736" s="458"/>
      <c r="V736" s="458"/>
      <c r="W736" s="458"/>
    </row>
    <row r="737" spans="1:23" ht="15.75" customHeight="1">
      <c r="A737" s="458"/>
      <c r="B737" s="458"/>
      <c r="C737" s="458"/>
      <c r="D737" s="458"/>
      <c r="E737" s="458"/>
      <c r="F737" s="458"/>
      <c r="G737" s="458"/>
      <c r="H737" s="458"/>
      <c r="I737" s="458"/>
      <c r="J737" s="458"/>
      <c r="K737" s="458"/>
      <c r="L737" s="458"/>
      <c r="M737" s="458"/>
      <c r="N737" s="458"/>
      <c r="O737" s="458"/>
      <c r="P737" s="458"/>
      <c r="Q737" s="458"/>
      <c r="R737" s="458"/>
      <c r="S737" s="458"/>
      <c r="T737" s="458"/>
      <c r="U737" s="458"/>
      <c r="V737" s="458"/>
      <c r="W737" s="458"/>
    </row>
    <row r="738" spans="1:23" ht="15.75" customHeight="1">
      <c r="A738" s="458"/>
      <c r="B738" s="458"/>
      <c r="C738" s="458"/>
      <c r="D738" s="458"/>
      <c r="E738" s="458"/>
      <c r="F738" s="458"/>
      <c r="G738" s="458"/>
      <c r="H738" s="458"/>
      <c r="I738" s="458"/>
      <c r="J738" s="458"/>
      <c r="K738" s="458"/>
      <c r="L738" s="458"/>
      <c r="M738" s="458"/>
      <c r="N738" s="458"/>
      <c r="O738" s="458"/>
      <c r="P738" s="458"/>
      <c r="Q738" s="458"/>
      <c r="R738" s="458"/>
      <c r="S738" s="458"/>
      <c r="T738" s="458"/>
      <c r="U738" s="458"/>
      <c r="V738" s="458"/>
      <c r="W738" s="458"/>
    </row>
    <row r="739" spans="1:23" ht="15.75" customHeight="1">
      <c r="A739" s="458"/>
      <c r="B739" s="458"/>
      <c r="C739" s="458"/>
      <c r="D739" s="458"/>
      <c r="E739" s="458"/>
      <c r="F739" s="458"/>
      <c r="G739" s="458"/>
      <c r="H739" s="458"/>
      <c r="I739" s="458"/>
      <c r="J739" s="458"/>
      <c r="K739" s="458"/>
      <c r="L739" s="458"/>
      <c r="M739" s="458"/>
      <c r="N739" s="458"/>
      <c r="O739" s="458"/>
      <c r="P739" s="458"/>
      <c r="Q739" s="458"/>
      <c r="R739" s="458"/>
      <c r="S739" s="458"/>
      <c r="T739" s="458"/>
      <c r="U739" s="458"/>
      <c r="V739" s="458"/>
      <c r="W739" s="458"/>
    </row>
    <row r="740" spans="1:23" ht="15.75" customHeight="1">
      <c r="A740" s="458"/>
      <c r="B740" s="458"/>
      <c r="C740" s="458"/>
      <c r="D740" s="458"/>
      <c r="E740" s="458"/>
      <c r="F740" s="458"/>
      <c r="G740" s="458"/>
      <c r="H740" s="458"/>
      <c r="I740" s="458"/>
      <c r="J740" s="458"/>
      <c r="K740" s="458"/>
      <c r="L740" s="458"/>
      <c r="M740" s="458"/>
      <c r="N740" s="458"/>
      <c r="O740" s="458"/>
      <c r="P740" s="458"/>
      <c r="Q740" s="458"/>
      <c r="R740" s="458"/>
      <c r="S740" s="458"/>
      <c r="T740" s="458"/>
      <c r="U740" s="458"/>
      <c r="V740" s="458"/>
      <c r="W740" s="458"/>
    </row>
    <row r="741" spans="1:23" ht="15.75" customHeight="1">
      <c r="A741" s="458"/>
      <c r="B741" s="458"/>
      <c r="C741" s="458"/>
      <c r="D741" s="458"/>
      <c r="E741" s="458"/>
      <c r="F741" s="458"/>
      <c r="G741" s="458"/>
      <c r="H741" s="458"/>
      <c r="I741" s="458"/>
      <c r="J741" s="458"/>
      <c r="K741" s="458"/>
      <c r="L741" s="458"/>
      <c r="M741" s="458"/>
      <c r="N741" s="458"/>
      <c r="O741" s="458"/>
      <c r="P741" s="458"/>
      <c r="Q741" s="458"/>
      <c r="R741" s="458"/>
      <c r="S741" s="458"/>
      <c r="T741" s="458"/>
      <c r="U741" s="458"/>
      <c r="V741" s="458"/>
      <c r="W741" s="458"/>
    </row>
    <row r="742" spans="1:23" ht="15.75" customHeight="1">
      <c r="A742" s="458"/>
      <c r="B742" s="458"/>
      <c r="C742" s="458"/>
      <c r="D742" s="458"/>
      <c r="E742" s="458"/>
      <c r="F742" s="458"/>
      <c r="G742" s="458"/>
      <c r="H742" s="458"/>
      <c r="I742" s="458"/>
      <c r="J742" s="458"/>
      <c r="K742" s="458"/>
      <c r="L742" s="458"/>
      <c r="M742" s="458"/>
      <c r="N742" s="458"/>
      <c r="O742" s="458"/>
      <c r="P742" s="458"/>
      <c r="Q742" s="458"/>
      <c r="R742" s="458"/>
      <c r="S742" s="458"/>
      <c r="T742" s="458"/>
      <c r="U742" s="458"/>
      <c r="V742" s="458"/>
      <c r="W742" s="458"/>
    </row>
    <row r="743" spans="1:23" ht="15.75" customHeight="1">
      <c r="A743" s="458"/>
      <c r="B743" s="458"/>
      <c r="C743" s="458"/>
      <c r="D743" s="458"/>
      <c r="E743" s="458"/>
      <c r="F743" s="458"/>
      <c r="G743" s="458"/>
      <c r="H743" s="458"/>
      <c r="I743" s="458"/>
      <c r="J743" s="458"/>
      <c r="K743" s="458"/>
      <c r="L743" s="458"/>
      <c r="M743" s="458"/>
      <c r="N743" s="458"/>
      <c r="O743" s="458"/>
      <c r="P743" s="458"/>
      <c r="Q743" s="458"/>
      <c r="R743" s="458"/>
      <c r="S743" s="458"/>
      <c r="T743" s="458"/>
      <c r="U743" s="458"/>
      <c r="V743" s="458"/>
      <c r="W743" s="458"/>
    </row>
    <row r="744" spans="1:23" ht="15.75" customHeight="1">
      <c r="A744" s="458"/>
      <c r="B744" s="458"/>
      <c r="C744" s="458"/>
      <c r="D744" s="458"/>
      <c r="E744" s="458"/>
      <c r="F744" s="458"/>
      <c r="G744" s="458"/>
      <c r="H744" s="458"/>
      <c r="I744" s="458"/>
      <c r="J744" s="458"/>
      <c r="K744" s="458"/>
      <c r="L744" s="458"/>
      <c r="M744" s="458"/>
      <c r="N744" s="458"/>
      <c r="O744" s="458"/>
      <c r="P744" s="458"/>
      <c r="Q744" s="458"/>
      <c r="R744" s="458"/>
      <c r="S744" s="458"/>
      <c r="T744" s="458"/>
      <c r="U744" s="458"/>
      <c r="V744" s="458"/>
      <c r="W744" s="458"/>
    </row>
    <row r="745" spans="1:23" ht="15.75" customHeight="1">
      <c r="A745" s="458"/>
      <c r="B745" s="458"/>
      <c r="C745" s="458"/>
      <c r="D745" s="458"/>
      <c r="E745" s="458"/>
      <c r="F745" s="458"/>
      <c r="G745" s="458"/>
      <c r="H745" s="458"/>
      <c r="I745" s="458"/>
      <c r="J745" s="458"/>
      <c r="K745" s="458"/>
      <c r="L745" s="458"/>
      <c r="M745" s="458"/>
      <c r="N745" s="458"/>
      <c r="O745" s="458"/>
      <c r="P745" s="458"/>
      <c r="Q745" s="458"/>
      <c r="R745" s="458"/>
      <c r="S745" s="458"/>
      <c r="T745" s="458"/>
      <c r="U745" s="458"/>
      <c r="V745" s="458"/>
      <c r="W745" s="458"/>
    </row>
    <row r="746" spans="1:23" ht="15.75" customHeight="1">
      <c r="A746" s="458"/>
      <c r="B746" s="458"/>
      <c r="C746" s="458"/>
      <c r="D746" s="458"/>
      <c r="E746" s="458"/>
      <c r="F746" s="458"/>
      <c r="G746" s="458"/>
      <c r="H746" s="458"/>
      <c r="I746" s="458"/>
      <c r="J746" s="458"/>
      <c r="K746" s="458"/>
      <c r="L746" s="458"/>
      <c r="M746" s="458"/>
      <c r="N746" s="458"/>
      <c r="O746" s="458"/>
      <c r="P746" s="458"/>
      <c r="Q746" s="458"/>
      <c r="R746" s="458"/>
      <c r="S746" s="458"/>
      <c r="T746" s="458"/>
      <c r="U746" s="458"/>
      <c r="V746" s="458"/>
      <c r="W746" s="458"/>
    </row>
    <row r="747" spans="1:23" ht="15.75" customHeight="1">
      <c r="A747" s="458"/>
      <c r="B747" s="458"/>
      <c r="C747" s="458"/>
      <c r="D747" s="458"/>
      <c r="E747" s="458"/>
      <c r="F747" s="458"/>
      <c r="G747" s="458"/>
      <c r="H747" s="458"/>
      <c r="I747" s="458"/>
      <c r="J747" s="458"/>
      <c r="K747" s="458"/>
      <c r="L747" s="458"/>
      <c r="M747" s="458"/>
      <c r="N747" s="458"/>
      <c r="O747" s="458"/>
      <c r="P747" s="458"/>
      <c r="Q747" s="458"/>
      <c r="R747" s="458"/>
      <c r="S747" s="458"/>
      <c r="T747" s="458"/>
      <c r="U747" s="458"/>
      <c r="V747" s="458"/>
      <c r="W747" s="458"/>
    </row>
    <row r="748" spans="1:23" ht="15.75" customHeight="1">
      <c r="A748" s="458"/>
      <c r="B748" s="458"/>
      <c r="C748" s="458"/>
      <c r="D748" s="458"/>
      <c r="E748" s="458"/>
      <c r="F748" s="458"/>
      <c r="G748" s="458"/>
      <c r="H748" s="458"/>
      <c r="I748" s="458"/>
      <c r="J748" s="458"/>
      <c r="K748" s="458"/>
      <c r="L748" s="458"/>
      <c r="M748" s="458"/>
      <c r="N748" s="458"/>
      <c r="O748" s="458"/>
      <c r="P748" s="458"/>
      <c r="Q748" s="458"/>
      <c r="R748" s="458"/>
      <c r="S748" s="458"/>
      <c r="T748" s="458"/>
      <c r="U748" s="458"/>
      <c r="V748" s="458"/>
      <c r="W748" s="458"/>
    </row>
    <row r="749" spans="1:23" ht="15.75" customHeight="1">
      <c r="A749" s="458"/>
      <c r="B749" s="458"/>
      <c r="C749" s="458"/>
      <c r="D749" s="458"/>
      <c r="E749" s="458"/>
      <c r="F749" s="458"/>
      <c r="G749" s="458"/>
      <c r="H749" s="458"/>
      <c r="I749" s="458"/>
      <c r="J749" s="458"/>
      <c r="K749" s="458"/>
      <c r="L749" s="458"/>
      <c r="M749" s="458"/>
      <c r="N749" s="458"/>
      <c r="O749" s="458"/>
      <c r="P749" s="458"/>
      <c r="Q749" s="458"/>
      <c r="R749" s="458"/>
      <c r="S749" s="458"/>
      <c r="T749" s="458"/>
      <c r="U749" s="458"/>
      <c r="V749" s="458"/>
      <c r="W749" s="458"/>
    </row>
    <row r="750" spans="1:23" ht="15.75" customHeight="1">
      <c r="A750" s="458"/>
      <c r="B750" s="458"/>
      <c r="C750" s="458"/>
      <c r="D750" s="458"/>
      <c r="E750" s="458"/>
      <c r="F750" s="458"/>
      <c r="G750" s="458"/>
      <c r="H750" s="458"/>
      <c r="I750" s="458"/>
      <c r="J750" s="458"/>
      <c r="K750" s="458"/>
      <c r="L750" s="458"/>
      <c r="M750" s="458"/>
      <c r="N750" s="458"/>
      <c r="O750" s="458"/>
      <c r="P750" s="458"/>
      <c r="Q750" s="458"/>
      <c r="R750" s="458"/>
      <c r="S750" s="458"/>
      <c r="T750" s="458"/>
      <c r="U750" s="458"/>
      <c r="V750" s="458"/>
      <c r="W750" s="458"/>
    </row>
    <row r="751" spans="1:23" ht="15.75" customHeight="1">
      <c r="A751" s="458"/>
      <c r="B751" s="458"/>
      <c r="C751" s="458"/>
      <c r="D751" s="458"/>
      <c r="E751" s="458"/>
      <c r="F751" s="458"/>
      <c r="G751" s="458"/>
      <c r="H751" s="458"/>
      <c r="I751" s="458"/>
      <c r="J751" s="458"/>
      <c r="K751" s="458"/>
      <c r="L751" s="458"/>
      <c r="M751" s="458"/>
      <c r="N751" s="458"/>
      <c r="O751" s="458"/>
      <c r="P751" s="458"/>
      <c r="Q751" s="458"/>
      <c r="R751" s="458"/>
      <c r="S751" s="458"/>
      <c r="T751" s="458"/>
      <c r="U751" s="458"/>
      <c r="V751" s="458"/>
      <c r="W751" s="458"/>
    </row>
    <row r="752" spans="1:23" ht="15.75" customHeight="1">
      <c r="A752" s="458"/>
      <c r="B752" s="458"/>
      <c r="C752" s="458"/>
      <c r="D752" s="458"/>
      <c r="E752" s="458"/>
      <c r="F752" s="458"/>
      <c r="G752" s="458"/>
      <c r="H752" s="458"/>
      <c r="I752" s="458"/>
      <c r="J752" s="458"/>
      <c r="K752" s="458"/>
      <c r="L752" s="458"/>
      <c r="M752" s="458"/>
      <c r="N752" s="458"/>
      <c r="O752" s="458"/>
      <c r="P752" s="458"/>
      <c r="Q752" s="458"/>
      <c r="R752" s="458"/>
      <c r="S752" s="458"/>
      <c r="T752" s="458"/>
      <c r="U752" s="458"/>
      <c r="V752" s="458"/>
      <c r="W752" s="458"/>
    </row>
    <row r="753" spans="1:23" ht="15.75" customHeight="1">
      <c r="A753" s="458"/>
      <c r="B753" s="458"/>
      <c r="C753" s="458"/>
      <c r="D753" s="458"/>
      <c r="E753" s="458"/>
      <c r="F753" s="458"/>
      <c r="G753" s="458"/>
      <c r="H753" s="458"/>
      <c r="I753" s="458"/>
      <c r="J753" s="458"/>
      <c r="K753" s="458"/>
      <c r="L753" s="458"/>
      <c r="M753" s="458"/>
      <c r="N753" s="458"/>
      <c r="O753" s="458"/>
      <c r="P753" s="458"/>
      <c r="Q753" s="458"/>
      <c r="R753" s="458"/>
      <c r="S753" s="458"/>
      <c r="T753" s="458"/>
      <c r="U753" s="458"/>
      <c r="V753" s="458"/>
      <c r="W753" s="458"/>
    </row>
    <row r="754" spans="1:23" ht="15.75" customHeight="1">
      <c r="A754" s="458"/>
      <c r="B754" s="458"/>
      <c r="C754" s="458"/>
      <c r="D754" s="458"/>
      <c r="E754" s="458"/>
      <c r="F754" s="458"/>
      <c r="G754" s="458"/>
      <c r="H754" s="458"/>
      <c r="I754" s="458"/>
      <c r="J754" s="458"/>
      <c r="K754" s="458"/>
      <c r="L754" s="458"/>
      <c r="M754" s="458"/>
      <c r="N754" s="458"/>
      <c r="O754" s="458"/>
      <c r="P754" s="458"/>
      <c r="Q754" s="458"/>
      <c r="R754" s="458"/>
      <c r="S754" s="458"/>
      <c r="T754" s="458"/>
      <c r="U754" s="458"/>
      <c r="V754" s="458"/>
      <c r="W754" s="458"/>
    </row>
    <row r="755" spans="1:23" ht="15.75" customHeight="1">
      <c r="A755" s="458"/>
      <c r="B755" s="458"/>
      <c r="C755" s="458"/>
      <c r="D755" s="458"/>
      <c r="E755" s="458"/>
      <c r="F755" s="458"/>
      <c r="G755" s="458"/>
      <c r="H755" s="458"/>
      <c r="I755" s="458"/>
      <c r="J755" s="458"/>
      <c r="K755" s="458"/>
      <c r="L755" s="458"/>
      <c r="M755" s="458"/>
      <c r="N755" s="458"/>
      <c r="O755" s="458"/>
      <c r="P755" s="458"/>
      <c r="Q755" s="458"/>
      <c r="R755" s="458"/>
      <c r="S755" s="458"/>
      <c r="T755" s="458"/>
      <c r="U755" s="458"/>
      <c r="V755" s="458"/>
      <c r="W755" s="458"/>
    </row>
    <row r="756" spans="1:23" ht="15.75" customHeight="1">
      <c r="A756" s="458"/>
      <c r="B756" s="458"/>
      <c r="C756" s="458"/>
      <c r="D756" s="458"/>
      <c r="E756" s="458"/>
      <c r="F756" s="458"/>
      <c r="G756" s="458"/>
      <c r="H756" s="458"/>
      <c r="I756" s="458"/>
      <c r="J756" s="458"/>
      <c r="K756" s="458"/>
      <c r="L756" s="458"/>
      <c r="M756" s="458"/>
      <c r="N756" s="458"/>
      <c r="O756" s="458"/>
      <c r="P756" s="458"/>
      <c r="Q756" s="458"/>
      <c r="R756" s="458"/>
      <c r="S756" s="458"/>
      <c r="T756" s="458"/>
      <c r="U756" s="458"/>
      <c r="V756" s="458"/>
      <c r="W756" s="458"/>
    </row>
    <row r="757" spans="1:23" ht="15.75" customHeight="1">
      <c r="A757" s="458"/>
      <c r="B757" s="458"/>
      <c r="C757" s="458"/>
      <c r="D757" s="458"/>
      <c r="E757" s="458"/>
      <c r="F757" s="458"/>
      <c r="G757" s="458"/>
      <c r="H757" s="458"/>
      <c r="I757" s="458"/>
      <c r="J757" s="458"/>
      <c r="K757" s="458"/>
      <c r="L757" s="458"/>
      <c r="M757" s="458"/>
      <c r="N757" s="458"/>
      <c r="O757" s="458"/>
      <c r="P757" s="458"/>
      <c r="Q757" s="458"/>
      <c r="R757" s="458"/>
      <c r="S757" s="458"/>
      <c r="T757" s="458"/>
      <c r="U757" s="458"/>
      <c r="V757" s="458"/>
      <c r="W757" s="458"/>
    </row>
    <row r="758" spans="1:23" ht="15.75" customHeight="1">
      <c r="A758" s="458"/>
      <c r="B758" s="458"/>
      <c r="C758" s="458"/>
      <c r="D758" s="458"/>
      <c r="E758" s="458"/>
      <c r="F758" s="458"/>
      <c r="G758" s="458"/>
      <c r="H758" s="458"/>
      <c r="I758" s="458"/>
      <c r="J758" s="458"/>
      <c r="K758" s="458"/>
      <c r="L758" s="458"/>
      <c r="M758" s="458"/>
      <c r="N758" s="458"/>
      <c r="O758" s="458"/>
      <c r="P758" s="458"/>
      <c r="Q758" s="458"/>
      <c r="R758" s="458"/>
      <c r="S758" s="458"/>
      <c r="T758" s="458"/>
      <c r="U758" s="458"/>
      <c r="V758" s="458"/>
      <c r="W758" s="458"/>
    </row>
    <row r="759" spans="1:23" ht="15.75" customHeight="1">
      <c r="A759" s="458"/>
      <c r="B759" s="458"/>
      <c r="C759" s="458"/>
      <c r="D759" s="458"/>
      <c r="E759" s="458"/>
      <c r="F759" s="458"/>
      <c r="G759" s="458"/>
      <c r="H759" s="458"/>
      <c r="I759" s="458"/>
      <c r="J759" s="458"/>
      <c r="K759" s="458"/>
      <c r="L759" s="458"/>
      <c r="M759" s="458"/>
      <c r="N759" s="458"/>
      <c r="O759" s="458"/>
      <c r="P759" s="458"/>
      <c r="Q759" s="458"/>
      <c r="R759" s="458"/>
      <c r="S759" s="458"/>
      <c r="T759" s="458"/>
      <c r="U759" s="458"/>
      <c r="V759" s="458"/>
      <c r="W759" s="458"/>
    </row>
    <row r="760" spans="1:23" ht="15.75" customHeight="1">
      <c r="A760" s="458"/>
      <c r="B760" s="458"/>
      <c r="C760" s="458"/>
      <c r="D760" s="458"/>
      <c r="E760" s="458"/>
      <c r="F760" s="458"/>
      <c r="G760" s="458"/>
      <c r="H760" s="458"/>
      <c r="I760" s="458"/>
      <c r="J760" s="458"/>
      <c r="K760" s="458"/>
      <c r="L760" s="458"/>
      <c r="M760" s="458"/>
      <c r="N760" s="458"/>
      <c r="O760" s="458"/>
      <c r="P760" s="458"/>
      <c r="Q760" s="458"/>
      <c r="R760" s="458"/>
      <c r="S760" s="458"/>
      <c r="T760" s="458"/>
      <c r="U760" s="458"/>
      <c r="V760" s="458"/>
      <c r="W760" s="458"/>
    </row>
    <row r="761" spans="1:23" ht="15.75" customHeight="1">
      <c r="A761" s="458"/>
      <c r="B761" s="458"/>
      <c r="C761" s="458"/>
      <c r="D761" s="458"/>
      <c r="E761" s="458"/>
      <c r="F761" s="458"/>
      <c r="G761" s="458"/>
      <c r="H761" s="458"/>
      <c r="I761" s="458"/>
      <c r="J761" s="458"/>
      <c r="K761" s="458"/>
      <c r="L761" s="458"/>
      <c r="M761" s="458"/>
      <c r="N761" s="458"/>
      <c r="O761" s="458"/>
      <c r="P761" s="458"/>
      <c r="Q761" s="458"/>
      <c r="R761" s="458"/>
      <c r="S761" s="458"/>
      <c r="T761" s="458"/>
      <c r="U761" s="458"/>
      <c r="V761" s="458"/>
      <c r="W761" s="458"/>
    </row>
    <row r="762" spans="1:23" ht="15.75" customHeight="1">
      <c r="A762" s="458"/>
      <c r="B762" s="458"/>
      <c r="C762" s="458"/>
      <c r="D762" s="458"/>
      <c r="E762" s="458"/>
      <c r="F762" s="458"/>
      <c r="G762" s="458"/>
      <c r="H762" s="458"/>
      <c r="I762" s="458"/>
      <c r="J762" s="458"/>
      <c r="K762" s="458"/>
      <c r="L762" s="458"/>
      <c r="M762" s="458"/>
      <c r="N762" s="458"/>
      <c r="O762" s="458"/>
      <c r="P762" s="458"/>
      <c r="Q762" s="458"/>
      <c r="R762" s="458"/>
      <c r="S762" s="458"/>
      <c r="T762" s="458"/>
      <c r="U762" s="458"/>
      <c r="V762" s="458"/>
      <c r="W762" s="458"/>
    </row>
    <row r="763" spans="1:23" ht="15.75" customHeight="1">
      <c r="A763" s="458"/>
      <c r="B763" s="458"/>
      <c r="C763" s="458"/>
      <c r="D763" s="458"/>
      <c r="E763" s="458"/>
      <c r="F763" s="458"/>
      <c r="G763" s="458"/>
      <c r="H763" s="458"/>
      <c r="I763" s="458"/>
      <c r="J763" s="458"/>
      <c r="K763" s="458"/>
      <c r="L763" s="458"/>
      <c r="M763" s="458"/>
      <c r="N763" s="458"/>
      <c r="O763" s="458"/>
      <c r="P763" s="458"/>
      <c r="Q763" s="458"/>
      <c r="R763" s="458"/>
      <c r="S763" s="458"/>
      <c r="T763" s="458"/>
      <c r="U763" s="458"/>
      <c r="V763" s="458"/>
      <c r="W763" s="458"/>
    </row>
    <row r="764" spans="1:23" ht="15.75" customHeight="1">
      <c r="A764" s="458"/>
      <c r="B764" s="458"/>
      <c r="C764" s="458"/>
      <c r="D764" s="458"/>
      <c r="E764" s="458"/>
      <c r="F764" s="458"/>
      <c r="G764" s="458"/>
      <c r="H764" s="458"/>
      <c r="I764" s="458"/>
      <c r="J764" s="458"/>
      <c r="K764" s="458"/>
      <c r="L764" s="458"/>
      <c r="M764" s="458"/>
      <c r="N764" s="458"/>
      <c r="O764" s="458"/>
      <c r="P764" s="458"/>
      <c r="Q764" s="458"/>
      <c r="R764" s="458"/>
      <c r="S764" s="458"/>
      <c r="T764" s="458"/>
      <c r="U764" s="458"/>
      <c r="V764" s="458"/>
      <c r="W764" s="458"/>
    </row>
    <row r="765" spans="1:23" ht="15.75" customHeight="1">
      <c r="A765" s="458"/>
      <c r="B765" s="458"/>
      <c r="C765" s="458"/>
      <c r="D765" s="458"/>
      <c r="E765" s="458"/>
      <c r="F765" s="458"/>
      <c r="G765" s="458"/>
      <c r="H765" s="458"/>
      <c r="I765" s="458"/>
      <c r="J765" s="458"/>
      <c r="K765" s="458"/>
      <c r="L765" s="458"/>
      <c r="M765" s="458"/>
      <c r="N765" s="458"/>
      <c r="O765" s="458"/>
      <c r="P765" s="458"/>
      <c r="Q765" s="458"/>
      <c r="R765" s="458"/>
      <c r="S765" s="458"/>
      <c r="T765" s="458"/>
      <c r="U765" s="458"/>
      <c r="V765" s="458"/>
      <c r="W765" s="458"/>
    </row>
    <row r="766" spans="1:23" ht="15.75" customHeight="1">
      <c r="A766" s="458"/>
      <c r="B766" s="458"/>
      <c r="C766" s="458"/>
      <c r="D766" s="458"/>
      <c r="E766" s="458"/>
      <c r="F766" s="458"/>
      <c r="G766" s="458"/>
      <c r="H766" s="458"/>
      <c r="I766" s="458"/>
      <c r="J766" s="458"/>
      <c r="K766" s="458"/>
      <c r="L766" s="458"/>
      <c r="M766" s="458"/>
      <c r="N766" s="458"/>
      <c r="O766" s="458"/>
      <c r="P766" s="458"/>
      <c r="Q766" s="458"/>
      <c r="R766" s="458"/>
      <c r="S766" s="458"/>
      <c r="T766" s="458"/>
      <c r="U766" s="458"/>
      <c r="V766" s="458"/>
      <c r="W766" s="458"/>
    </row>
    <row r="767" spans="1:23" ht="15.75" customHeight="1">
      <c r="A767" s="458"/>
      <c r="B767" s="458"/>
      <c r="C767" s="458"/>
      <c r="D767" s="458"/>
      <c r="E767" s="458"/>
      <c r="F767" s="458"/>
      <c r="G767" s="458"/>
      <c r="H767" s="458"/>
      <c r="I767" s="458"/>
      <c r="J767" s="458"/>
      <c r="K767" s="458"/>
      <c r="L767" s="458"/>
      <c r="M767" s="458"/>
      <c r="N767" s="458"/>
      <c r="O767" s="458"/>
      <c r="P767" s="458"/>
      <c r="Q767" s="458"/>
      <c r="R767" s="458"/>
      <c r="S767" s="458"/>
      <c r="T767" s="458"/>
      <c r="U767" s="458"/>
      <c r="V767" s="458"/>
      <c r="W767" s="458"/>
    </row>
    <row r="768" spans="1:23" ht="15.75" customHeight="1">
      <c r="A768" s="458"/>
      <c r="B768" s="458"/>
      <c r="C768" s="458"/>
      <c r="D768" s="458"/>
      <c r="E768" s="458"/>
      <c r="F768" s="458"/>
      <c r="G768" s="458"/>
      <c r="H768" s="458"/>
      <c r="I768" s="458"/>
      <c r="J768" s="458"/>
      <c r="K768" s="458"/>
      <c r="L768" s="458"/>
      <c r="M768" s="458"/>
      <c r="N768" s="458"/>
      <c r="O768" s="458"/>
      <c r="P768" s="458"/>
      <c r="Q768" s="458"/>
      <c r="R768" s="458"/>
      <c r="S768" s="458"/>
      <c r="T768" s="458"/>
      <c r="U768" s="458"/>
      <c r="V768" s="458"/>
      <c r="W768" s="458"/>
    </row>
    <row r="769" spans="1:23" ht="15.75" customHeight="1">
      <c r="A769" s="458"/>
      <c r="B769" s="458"/>
      <c r="C769" s="458"/>
      <c r="D769" s="458"/>
      <c r="E769" s="458"/>
      <c r="F769" s="458"/>
      <c r="G769" s="458"/>
      <c r="H769" s="458"/>
      <c r="I769" s="458"/>
      <c r="J769" s="458"/>
      <c r="K769" s="458"/>
      <c r="L769" s="458"/>
      <c r="M769" s="458"/>
      <c r="N769" s="458"/>
      <c r="O769" s="458"/>
      <c r="P769" s="458"/>
      <c r="Q769" s="458"/>
      <c r="R769" s="458"/>
      <c r="S769" s="458"/>
      <c r="T769" s="458"/>
      <c r="U769" s="458"/>
      <c r="V769" s="458"/>
      <c r="W769" s="458"/>
    </row>
    <row r="770" spans="1:23" ht="15.75" customHeight="1">
      <c r="A770" s="458"/>
      <c r="B770" s="458"/>
      <c r="C770" s="458"/>
      <c r="D770" s="458"/>
      <c r="E770" s="458"/>
      <c r="F770" s="458"/>
      <c r="G770" s="458"/>
      <c r="H770" s="458"/>
      <c r="I770" s="458"/>
      <c r="J770" s="458"/>
      <c r="K770" s="458"/>
      <c r="L770" s="458"/>
      <c r="M770" s="458"/>
      <c r="N770" s="458"/>
      <c r="O770" s="458"/>
      <c r="P770" s="458"/>
      <c r="Q770" s="458"/>
      <c r="R770" s="458"/>
      <c r="S770" s="458"/>
      <c r="T770" s="458"/>
      <c r="U770" s="458"/>
      <c r="V770" s="458"/>
      <c r="W770" s="458"/>
    </row>
    <row r="771" spans="1:23" ht="15.75" customHeight="1">
      <c r="A771" s="458"/>
      <c r="B771" s="458"/>
      <c r="C771" s="458"/>
      <c r="D771" s="458"/>
      <c r="E771" s="458"/>
      <c r="F771" s="458"/>
      <c r="G771" s="458"/>
      <c r="H771" s="458"/>
      <c r="I771" s="458"/>
      <c r="J771" s="458"/>
      <c r="K771" s="458"/>
      <c r="L771" s="458"/>
      <c r="M771" s="458"/>
      <c r="N771" s="458"/>
      <c r="O771" s="458"/>
      <c r="P771" s="458"/>
      <c r="Q771" s="458"/>
      <c r="R771" s="458"/>
      <c r="S771" s="458"/>
      <c r="T771" s="458"/>
      <c r="U771" s="458"/>
      <c r="V771" s="458"/>
      <c r="W771" s="458"/>
    </row>
    <row r="772" spans="1:23" ht="15.75" customHeight="1">
      <c r="A772" s="458"/>
      <c r="B772" s="458"/>
      <c r="C772" s="458"/>
      <c r="D772" s="458"/>
      <c r="E772" s="458"/>
      <c r="F772" s="458"/>
      <c r="G772" s="458"/>
      <c r="H772" s="458"/>
      <c r="I772" s="458"/>
      <c r="J772" s="458"/>
      <c r="K772" s="458"/>
      <c r="L772" s="458"/>
      <c r="M772" s="458"/>
      <c r="N772" s="458"/>
      <c r="O772" s="458"/>
      <c r="P772" s="458"/>
      <c r="Q772" s="458"/>
      <c r="R772" s="458"/>
      <c r="S772" s="458"/>
      <c r="T772" s="458"/>
      <c r="U772" s="458"/>
      <c r="V772" s="458"/>
      <c r="W772" s="458"/>
    </row>
    <row r="773" spans="1:23" ht="15.75" customHeight="1">
      <c r="A773" s="458"/>
      <c r="B773" s="458"/>
      <c r="C773" s="458"/>
      <c r="D773" s="458"/>
      <c r="E773" s="458"/>
      <c r="F773" s="458"/>
      <c r="G773" s="458"/>
      <c r="H773" s="458"/>
      <c r="I773" s="458"/>
      <c r="J773" s="458"/>
      <c r="K773" s="458"/>
      <c r="L773" s="458"/>
      <c r="M773" s="458"/>
      <c r="N773" s="458"/>
      <c r="O773" s="458"/>
      <c r="P773" s="458"/>
      <c r="Q773" s="458"/>
      <c r="R773" s="458"/>
      <c r="S773" s="458"/>
      <c r="T773" s="458"/>
      <c r="U773" s="458"/>
      <c r="V773" s="458"/>
      <c r="W773" s="458"/>
    </row>
    <row r="774" spans="1:23" ht="15.75" customHeight="1">
      <c r="A774" s="458"/>
      <c r="B774" s="458"/>
      <c r="C774" s="458"/>
      <c r="D774" s="458"/>
      <c r="E774" s="458"/>
      <c r="F774" s="458"/>
      <c r="G774" s="458"/>
      <c r="H774" s="458"/>
      <c r="I774" s="458"/>
      <c r="J774" s="458"/>
      <c r="K774" s="458"/>
      <c r="L774" s="458"/>
      <c r="M774" s="458"/>
      <c r="N774" s="458"/>
      <c r="O774" s="458"/>
      <c r="P774" s="458"/>
      <c r="Q774" s="458"/>
      <c r="R774" s="458"/>
      <c r="S774" s="458"/>
      <c r="T774" s="458"/>
      <c r="U774" s="458"/>
      <c r="V774" s="458"/>
      <c r="W774" s="458"/>
    </row>
    <row r="775" spans="1:23" ht="15.75" customHeight="1">
      <c r="A775" s="458"/>
      <c r="B775" s="458"/>
      <c r="C775" s="458"/>
      <c r="D775" s="458"/>
      <c r="E775" s="458"/>
      <c r="F775" s="458"/>
      <c r="G775" s="458"/>
      <c r="H775" s="458"/>
      <c r="I775" s="458"/>
      <c r="J775" s="458"/>
      <c r="K775" s="458"/>
      <c r="L775" s="458"/>
      <c r="M775" s="458"/>
      <c r="N775" s="458"/>
      <c r="O775" s="458"/>
      <c r="P775" s="458"/>
      <c r="Q775" s="458"/>
      <c r="R775" s="458"/>
      <c r="S775" s="458"/>
      <c r="T775" s="458"/>
      <c r="U775" s="458"/>
      <c r="V775" s="458"/>
      <c r="W775" s="458"/>
    </row>
    <row r="776" spans="1:23" ht="15.75" customHeight="1">
      <c r="A776" s="458"/>
      <c r="B776" s="458"/>
      <c r="C776" s="458"/>
      <c r="D776" s="458"/>
      <c r="E776" s="458"/>
      <c r="F776" s="458"/>
      <c r="G776" s="458"/>
      <c r="H776" s="458"/>
      <c r="I776" s="458"/>
      <c r="J776" s="458"/>
      <c r="K776" s="458"/>
      <c r="L776" s="458"/>
      <c r="M776" s="458"/>
      <c r="N776" s="458"/>
      <c r="O776" s="458"/>
      <c r="P776" s="458"/>
      <c r="Q776" s="458"/>
      <c r="R776" s="458"/>
      <c r="S776" s="458"/>
      <c r="T776" s="458"/>
      <c r="U776" s="458"/>
      <c r="V776" s="458"/>
      <c r="W776" s="458"/>
    </row>
    <row r="777" spans="1:23" ht="15.75" customHeight="1">
      <c r="A777" s="458"/>
      <c r="B777" s="458"/>
      <c r="C777" s="458"/>
      <c r="D777" s="458"/>
      <c r="E777" s="458"/>
      <c r="F777" s="458"/>
      <c r="G777" s="458"/>
      <c r="H777" s="458"/>
      <c r="I777" s="458"/>
      <c r="J777" s="458"/>
      <c r="K777" s="458"/>
      <c r="L777" s="458"/>
      <c r="M777" s="458"/>
      <c r="N777" s="458"/>
      <c r="O777" s="458"/>
      <c r="P777" s="458"/>
      <c r="Q777" s="458"/>
      <c r="R777" s="458"/>
      <c r="S777" s="458"/>
      <c r="T777" s="458"/>
      <c r="U777" s="458"/>
      <c r="V777" s="458"/>
      <c r="W777" s="458"/>
    </row>
    <row r="778" spans="1:23" ht="15.75" customHeight="1">
      <c r="A778" s="458"/>
      <c r="B778" s="458"/>
      <c r="C778" s="458"/>
      <c r="D778" s="458"/>
      <c r="E778" s="458"/>
      <c r="F778" s="458"/>
      <c r="G778" s="458"/>
      <c r="H778" s="458"/>
      <c r="I778" s="458"/>
      <c r="J778" s="458"/>
      <c r="K778" s="458"/>
      <c r="L778" s="458"/>
      <c r="M778" s="458"/>
      <c r="N778" s="458"/>
      <c r="O778" s="458"/>
      <c r="P778" s="458"/>
      <c r="Q778" s="458"/>
      <c r="R778" s="458"/>
      <c r="S778" s="458"/>
      <c r="T778" s="458"/>
      <c r="U778" s="458"/>
      <c r="V778" s="458"/>
      <c r="W778" s="458"/>
    </row>
    <row r="779" spans="1:23" ht="15.75" customHeight="1">
      <c r="A779" s="458"/>
      <c r="B779" s="458"/>
      <c r="C779" s="458"/>
      <c r="D779" s="458"/>
      <c r="E779" s="458"/>
      <c r="F779" s="458"/>
      <c r="G779" s="458"/>
      <c r="H779" s="458"/>
      <c r="I779" s="458"/>
      <c r="J779" s="458"/>
      <c r="K779" s="458"/>
      <c r="L779" s="458"/>
      <c r="M779" s="458"/>
      <c r="N779" s="458"/>
      <c r="O779" s="458"/>
      <c r="P779" s="458"/>
      <c r="Q779" s="458"/>
      <c r="R779" s="458"/>
      <c r="S779" s="458"/>
      <c r="T779" s="458"/>
      <c r="U779" s="458"/>
      <c r="V779" s="458"/>
      <c r="W779" s="458"/>
    </row>
    <row r="780" spans="1:23" ht="15.75" customHeight="1">
      <c r="A780" s="458"/>
      <c r="B780" s="458"/>
      <c r="C780" s="458"/>
      <c r="D780" s="458"/>
      <c r="E780" s="458"/>
      <c r="F780" s="458"/>
      <c r="G780" s="458"/>
      <c r="H780" s="458"/>
      <c r="I780" s="458"/>
      <c r="J780" s="458"/>
      <c r="K780" s="458"/>
      <c r="L780" s="458"/>
      <c r="M780" s="458"/>
      <c r="N780" s="458"/>
      <c r="O780" s="458"/>
      <c r="P780" s="458"/>
      <c r="Q780" s="458"/>
      <c r="R780" s="458"/>
      <c r="S780" s="458"/>
      <c r="T780" s="458"/>
      <c r="U780" s="458"/>
      <c r="V780" s="458"/>
      <c r="W780" s="458"/>
    </row>
    <row r="781" spans="1:23" ht="15.75" customHeight="1">
      <c r="A781" s="458"/>
      <c r="B781" s="458"/>
      <c r="C781" s="458"/>
      <c r="D781" s="458"/>
      <c r="E781" s="458"/>
      <c r="F781" s="458"/>
      <c r="G781" s="458"/>
      <c r="H781" s="458"/>
      <c r="I781" s="458"/>
      <c r="J781" s="458"/>
      <c r="K781" s="458"/>
      <c r="L781" s="458"/>
      <c r="M781" s="458"/>
      <c r="N781" s="458"/>
      <c r="O781" s="458"/>
      <c r="P781" s="458"/>
      <c r="Q781" s="458"/>
      <c r="R781" s="458"/>
      <c r="S781" s="458"/>
      <c r="T781" s="458"/>
      <c r="U781" s="458"/>
      <c r="V781" s="458"/>
      <c r="W781" s="458"/>
    </row>
    <row r="782" spans="1:23" ht="15.75" customHeight="1">
      <c r="A782" s="458"/>
      <c r="B782" s="458"/>
      <c r="C782" s="458"/>
      <c r="D782" s="458"/>
      <c r="E782" s="458"/>
      <c r="F782" s="458"/>
      <c r="G782" s="458"/>
      <c r="H782" s="458"/>
      <c r="I782" s="458"/>
      <c r="J782" s="458"/>
      <c r="K782" s="458"/>
      <c r="L782" s="458"/>
      <c r="M782" s="458"/>
      <c r="N782" s="458"/>
      <c r="O782" s="458"/>
      <c r="P782" s="458"/>
      <c r="Q782" s="458"/>
      <c r="R782" s="458"/>
      <c r="S782" s="458"/>
      <c r="T782" s="458"/>
      <c r="U782" s="458"/>
      <c r="V782" s="458"/>
      <c r="W782" s="458"/>
    </row>
    <row r="783" spans="1:23" ht="15.75" customHeight="1">
      <c r="A783" s="458"/>
      <c r="B783" s="458"/>
      <c r="C783" s="458"/>
      <c r="D783" s="458"/>
      <c r="E783" s="458"/>
      <c r="F783" s="458"/>
      <c r="G783" s="458"/>
      <c r="H783" s="458"/>
      <c r="I783" s="458"/>
      <c r="J783" s="458"/>
      <c r="K783" s="458"/>
      <c r="L783" s="458"/>
      <c r="M783" s="458"/>
      <c r="N783" s="458"/>
      <c r="O783" s="458"/>
      <c r="P783" s="458"/>
      <c r="Q783" s="458"/>
      <c r="R783" s="458"/>
      <c r="S783" s="458"/>
      <c r="T783" s="458"/>
      <c r="U783" s="458"/>
      <c r="V783" s="458"/>
      <c r="W783" s="458"/>
    </row>
    <row r="784" spans="1:23" ht="15.75" customHeight="1">
      <c r="A784" s="458"/>
      <c r="B784" s="458"/>
      <c r="C784" s="458"/>
      <c r="D784" s="458"/>
      <c r="E784" s="458"/>
      <c r="F784" s="458"/>
      <c r="G784" s="458"/>
      <c r="H784" s="458"/>
      <c r="I784" s="458"/>
      <c r="J784" s="458"/>
      <c r="K784" s="458"/>
      <c r="L784" s="458"/>
      <c r="M784" s="458"/>
      <c r="N784" s="458"/>
      <c r="O784" s="458"/>
      <c r="P784" s="458"/>
      <c r="Q784" s="458"/>
      <c r="R784" s="458"/>
      <c r="S784" s="458"/>
      <c r="T784" s="458"/>
      <c r="U784" s="458"/>
      <c r="V784" s="458"/>
      <c r="W784" s="458"/>
    </row>
    <row r="785" spans="1:23" ht="15.75" customHeight="1">
      <c r="A785" s="458"/>
      <c r="B785" s="458"/>
      <c r="C785" s="458"/>
      <c r="D785" s="458"/>
      <c r="E785" s="458"/>
      <c r="F785" s="458"/>
      <c r="G785" s="458"/>
      <c r="H785" s="458"/>
      <c r="I785" s="458"/>
      <c r="J785" s="458"/>
      <c r="K785" s="458"/>
      <c r="L785" s="458"/>
      <c r="M785" s="458"/>
      <c r="N785" s="458"/>
      <c r="O785" s="458"/>
      <c r="P785" s="458"/>
      <c r="Q785" s="458"/>
      <c r="R785" s="458"/>
      <c r="S785" s="458"/>
      <c r="T785" s="458"/>
      <c r="U785" s="458"/>
      <c r="V785" s="458"/>
      <c r="W785" s="458"/>
    </row>
    <row r="786" spans="1:23" ht="15.75" customHeight="1">
      <c r="A786" s="458"/>
      <c r="B786" s="458"/>
      <c r="C786" s="458"/>
      <c r="D786" s="458"/>
      <c r="E786" s="458"/>
      <c r="F786" s="458"/>
      <c r="G786" s="458"/>
      <c r="H786" s="458"/>
      <c r="I786" s="458"/>
      <c r="J786" s="458"/>
      <c r="K786" s="458"/>
      <c r="L786" s="458"/>
      <c r="M786" s="458"/>
      <c r="N786" s="458"/>
      <c r="O786" s="458"/>
      <c r="P786" s="458"/>
      <c r="Q786" s="458"/>
      <c r="R786" s="458"/>
      <c r="S786" s="458"/>
      <c r="T786" s="458"/>
      <c r="U786" s="458"/>
      <c r="V786" s="458"/>
      <c r="W786" s="458"/>
    </row>
    <row r="787" spans="1:23" ht="15.75" customHeight="1">
      <c r="A787" s="458"/>
      <c r="B787" s="458"/>
      <c r="C787" s="458"/>
      <c r="D787" s="458"/>
      <c r="E787" s="458"/>
      <c r="F787" s="458"/>
      <c r="G787" s="458"/>
      <c r="H787" s="458"/>
      <c r="I787" s="458"/>
      <c r="J787" s="458"/>
      <c r="K787" s="458"/>
      <c r="L787" s="458"/>
      <c r="M787" s="458"/>
      <c r="N787" s="458"/>
      <c r="O787" s="458"/>
      <c r="P787" s="458"/>
      <c r="Q787" s="458"/>
      <c r="R787" s="458"/>
      <c r="S787" s="458"/>
      <c r="T787" s="458"/>
      <c r="U787" s="458"/>
      <c r="V787" s="458"/>
      <c r="W787" s="458"/>
    </row>
    <row r="788" spans="1:23" ht="15.75" customHeight="1">
      <c r="A788" s="458"/>
      <c r="B788" s="458"/>
      <c r="C788" s="458"/>
      <c r="D788" s="458"/>
      <c r="E788" s="458"/>
      <c r="F788" s="458"/>
      <c r="G788" s="458"/>
      <c r="H788" s="458"/>
      <c r="I788" s="458"/>
      <c r="J788" s="458"/>
      <c r="K788" s="458"/>
      <c r="L788" s="458"/>
      <c r="M788" s="458"/>
      <c r="N788" s="458"/>
      <c r="O788" s="458"/>
      <c r="P788" s="458"/>
      <c r="Q788" s="458"/>
      <c r="R788" s="458"/>
      <c r="S788" s="458"/>
      <c r="T788" s="458"/>
      <c r="U788" s="458"/>
      <c r="V788" s="458"/>
      <c r="W788" s="458"/>
    </row>
    <row r="789" spans="1:23" ht="15.75" customHeight="1">
      <c r="A789" s="458"/>
      <c r="B789" s="458"/>
      <c r="C789" s="458"/>
      <c r="D789" s="458"/>
      <c r="E789" s="458"/>
      <c r="F789" s="458"/>
      <c r="G789" s="458"/>
      <c r="H789" s="458"/>
      <c r="I789" s="458"/>
      <c r="J789" s="458"/>
      <c r="K789" s="458"/>
      <c r="L789" s="458"/>
      <c r="M789" s="458"/>
      <c r="N789" s="458"/>
      <c r="O789" s="458"/>
      <c r="P789" s="458"/>
      <c r="Q789" s="458"/>
      <c r="R789" s="458"/>
      <c r="S789" s="458"/>
      <c r="T789" s="458"/>
      <c r="U789" s="458"/>
      <c r="V789" s="458"/>
      <c r="W789" s="458"/>
    </row>
    <row r="790" spans="1:23" ht="15.75" customHeight="1">
      <c r="A790" s="458"/>
      <c r="B790" s="458"/>
      <c r="C790" s="458"/>
      <c r="D790" s="458"/>
      <c r="E790" s="458"/>
      <c r="F790" s="458"/>
      <c r="G790" s="458"/>
      <c r="H790" s="458"/>
      <c r="I790" s="458"/>
      <c r="J790" s="458"/>
      <c r="K790" s="458"/>
      <c r="L790" s="458"/>
      <c r="M790" s="458"/>
      <c r="N790" s="458"/>
      <c r="O790" s="458"/>
      <c r="P790" s="458"/>
      <c r="Q790" s="458"/>
      <c r="R790" s="458"/>
      <c r="S790" s="458"/>
      <c r="T790" s="458"/>
      <c r="U790" s="458"/>
      <c r="V790" s="458"/>
      <c r="W790" s="458"/>
    </row>
    <row r="791" spans="1:23" ht="15.75" customHeight="1">
      <c r="A791" s="458"/>
      <c r="B791" s="458"/>
      <c r="C791" s="458"/>
      <c r="D791" s="458"/>
      <c r="E791" s="458"/>
      <c r="F791" s="458"/>
      <c r="G791" s="458"/>
      <c r="H791" s="458"/>
      <c r="I791" s="458"/>
      <c r="J791" s="458"/>
      <c r="K791" s="458"/>
      <c r="L791" s="458"/>
      <c r="M791" s="458"/>
      <c r="N791" s="458"/>
      <c r="O791" s="458"/>
      <c r="P791" s="458"/>
      <c r="Q791" s="458"/>
      <c r="R791" s="458"/>
      <c r="S791" s="458"/>
      <c r="T791" s="458"/>
      <c r="U791" s="458"/>
      <c r="V791" s="458"/>
      <c r="W791" s="458"/>
    </row>
    <row r="792" spans="1:23" ht="15.75" customHeight="1">
      <c r="A792" s="458"/>
      <c r="B792" s="458"/>
      <c r="C792" s="458"/>
      <c r="D792" s="458"/>
      <c r="E792" s="458"/>
      <c r="F792" s="458"/>
      <c r="G792" s="458"/>
      <c r="H792" s="458"/>
      <c r="I792" s="458"/>
      <c r="J792" s="458"/>
      <c r="K792" s="458"/>
      <c r="L792" s="458"/>
      <c r="M792" s="458"/>
      <c r="N792" s="458"/>
      <c r="O792" s="458"/>
      <c r="P792" s="458"/>
      <c r="Q792" s="458"/>
      <c r="R792" s="458"/>
      <c r="S792" s="458"/>
      <c r="T792" s="458"/>
      <c r="U792" s="458"/>
      <c r="V792" s="458"/>
      <c r="W792" s="458"/>
    </row>
    <row r="793" spans="1:23" ht="15.75" customHeight="1">
      <c r="A793" s="458"/>
      <c r="B793" s="458"/>
      <c r="C793" s="458"/>
      <c r="D793" s="458"/>
      <c r="E793" s="458"/>
      <c r="F793" s="458"/>
      <c r="G793" s="458"/>
      <c r="H793" s="458"/>
      <c r="I793" s="458"/>
      <c r="J793" s="458"/>
      <c r="K793" s="458"/>
      <c r="L793" s="458"/>
      <c r="M793" s="458"/>
      <c r="N793" s="458"/>
      <c r="O793" s="458"/>
      <c r="P793" s="458"/>
      <c r="Q793" s="458"/>
      <c r="R793" s="458"/>
      <c r="S793" s="458"/>
      <c r="T793" s="458"/>
      <c r="U793" s="458"/>
      <c r="V793" s="458"/>
      <c r="W793" s="458"/>
    </row>
    <row r="794" spans="1:23" ht="15.75" customHeight="1">
      <c r="A794" s="458"/>
      <c r="B794" s="458"/>
      <c r="C794" s="458"/>
      <c r="D794" s="458"/>
      <c r="E794" s="458"/>
      <c r="F794" s="458"/>
      <c r="G794" s="458"/>
      <c r="H794" s="458"/>
      <c r="I794" s="458"/>
      <c r="J794" s="458"/>
      <c r="K794" s="458"/>
      <c r="L794" s="458"/>
      <c r="M794" s="458"/>
      <c r="N794" s="458"/>
      <c r="O794" s="458"/>
      <c r="P794" s="458"/>
      <c r="Q794" s="458"/>
      <c r="R794" s="458"/>
      <c r="S794" s="458"/>
      <c r="T794" s="458"/>
      <c r="U794" s="458"/>
      <c r="V794" s="458"/>
      <c r="W794" s="458"/>
    </row>
    <row r="795" spans="1:23" ht="15.75" customHeight="1">
      <c r="A795" s="458"/>
      <c r="B795" s="458"/>
      <c r="C795" s="458"/>
      <c r="D795" s="458"/>
      <c r="E795" s="458"/>
      <c r="F795" s="458"/>
      <c r="G795" s="458"/>
      <c r="H795" s="458"/>
      <c r="I795" s="458"/>
      <c r="J795" s="458"/>
      <c r="K795" s="458"/>
      <c r="L795" s="458"/>
      <c r="M795" s="458"/>
      <c r="N795" s="458"/>
      <c r="O795" s="458"/>
      <c r="P795" s="458"/>
      <c r="Q795" s="458"/>
      <c r="R795" s="458"/>
      <c r="S795" s="458"/>
      <c r="T795" s="458"/>
      <c r="U795" s="458"/>
      <c r="V795" s="458"/>
      <c r="W795" s="458"/>
    </row>
    <row r="796" spans="1:23" ht="15.75" customHeight="1">
      <c r="A796" s="458"/>
      <c r="B796" s="458"/>
      <c r="C796" s="458"/>
      <c r="D796" s="458"/>
      <c r="E796" s="458"/>
      <c r="F796" s="458"/>
      <c r="G796" s="458"/>
      <c r="H796" s="458"/>
      <c r="I796" s="458"/>
      <c r="J796" s="458"/>
      <c r="K796" s="458"/>
      <c r="L796" s="458"/>
      <c r="M796" s="458"/>
      <c r="N796" s="458"/>
      <c r="O796" s="458"/>
      <c r="P796" s="458"/>
      <c r="Q796" s="458"/>
      <c r="R796" s="458"/>
      <c r="S796" s="458"/>
      <c r="T796" s="458"/>
      <c r="U796" s="458"/>
      <c r="V796" s="458"/>
      <c r="W796" s="458"/>
    </row>
    <row r="797" spans="1:23" ht="15.75" customHeight="1">
      <c r="A797" s="458"/>
      <c r="B797" s="458"/>
      <c r="C797" s="458"/>
      <c r="D797" s="458"/>
      <c r="E797" s="458"/>
      <c r="F797" s="458"/>
      <c r="G797" s="458"/>
      <c r="H797" s="458"/>
      <c r="I797" s="458"/>
      <c r="J797" s="458"/>
      <c r="K797" s="458"/>
      <c r="L797" s="458"/>
      <c r="M797" s="458"/>
      <c r="N797" s="458"/>
      <c r="O797" s="458"/>
      <c r="P797" s="458"/>
      <c r="Q797" s="458"/>
      <c r="R797" s="458"/>
      <c r="S797" s="458"/>
      <c r="T797" s="458"/>
      <c r="U797" s="458"/>
      <c r="V797" s="458"/>
      <c r="W797" s="458"/>
    </row>
    <row r="798" spans="1:23" ht="15.75" customHeight="1">
      <c r="A798" s="458"/>
      <c r="B798" s="458"/>
      <c r="C798" s="458"/>
      <c r="D798" s="458"/>
      <c r="E798" s="458"/>
      <c r="F798" s="458"/>
      <c r="G798" s="458"/>
      <c r="H798" s="458"/>
      <c r="I798" s="458"/>
      <c r="J798" s="458"/>
      <c r="K798" s="458"/>
      <c r="L798" s="458"/>
      <c r="M798" s="458"/>
      <c r="N798" s="458"/>
      <c r="O798" s="458"/>
      <c r="P798" s="458"/>
      <c r="Q798" s="458"/>
      <c r="R798" s="458"/>
      <c r="S798" s="458"/>
      <c r="T798" s="458"/>
      <c r="U798" s="458"/>
      <c r="V798" s="458"/>
      <c r="W798" s="458"/>
    </row>
    <row r="799" spans="1:23" ht="15.75" customHeight="1">
      <c r="A799" s="458"/>
      <c r="B799" s="458"/>
      <c r="C799" s="458"/>
      <c r="D799" s="458"/>
      <c r="E799" s="458"/>
      <c r="F799" s="458"/>
      <c r="G799" s="458"/>
      <c r="H799" s="458"/>
      <c r="I799" s="458"/>
      <c r="J799" s="458"/>
      <c r="K799" s="458"/>
      <c r="L799" s="458"/>
      <c r="M799" s="458"/>
      <c r="N799" s="458"/>
      <c r="O799" s="458"/>
      <c r="P799" s="458"/>
      <c r="Q799" s="458"/>
      <c r="R799" s="458"/>
      <c r="S799" s="458"/>
      <c r="T799" s="458"/>
      <c r="U799" s="458"/>
      <c r="V799" s="458"/>
      <c r="W799" s="458"/>
    </row>
    <row r="800" spans="1:23" ht="15.75" customHeight="1">
      <c r="A800" s="458"/>
      <c r="B800" s="458"/>
      <c r="C800" s="458"/>
      <c r="D800" s="458"/>
      <c r="E800" s="458"/>
      <c r="F800" s="458"/>
      <c r="G800" s="458"/>
      <c r="H800" s="458"/>
      <c r="I800" s="458"/>
      <c r="J800" s="458"/>
      <c r="K800" s="458"/>
      <c r="L800" s="458"/>
      <c r="M800" s="458"/>
      <c r="N800" s="458"/>
      <c r="O800" s="458"/>
      <c r="P800" s="458"/>
      <c r="Q800" s="458"/>
      <c r="R800" s="458"/>
      <c r="S800" s="458"/>
      <c r="T800" s="458"/>
      <c r="U800" s="458"/>
      <c r="V800" s="458"/>
      <c r="W800" s="458"/>
    </row>
    <row r="801" spans="1:23" ht="15.75" customHeight="1">
      <c r="A801" s="458"/>
      <c r="B801" s="458"/>
      <c r="C801" s="458"/>
      <c r="D801" s="458"/>
      <c r="E801" s="458"/>
      <c r="F801" s="458"/>
      <c r="G801" s="458"/>
      <c r="H801" s="458"/>
      <c r="I801" s="458"/>
      <c r="J801" s="458"/>
      <c r="K801" s="458"/>
      <c r="L801" s="458"/>
      <c r="M801" s="458"/>
      <c r="N801" s="458"/>
      <c r="O801" s="458"/>
      <c r="P801" s="458"/>
      <c r="Q801" s="458"/>
      <c r="R801" s="458"/>
      <c r="S801" s="458"/>
      <c r="T801" s="458"/>
      <c r="U801" s="458"/>
      <c r="V801" s="458"/>
      <c r="W801" s="458"/>
    </row>
    <row r="802" spans="1:23" ht="15.75" customHeight="1">
      <c r="A802" s="458"/>
      <c r="B802" s="458"/>
      <c r="C802" s="458"/>
      <c r="D802" s="458"/>
      <c r="E802" s="458"/>
      <c r="F802" s="458"/>
      <c r="G802" s="458"/>
      <c r="H802" s="458"/>
      <c r="I802" s="458"/>
      <c r="J802" s="458"/>
      <c r="K802" s="458"/>
      <c r="L802" s="458"/>
      <c r="M802" s="458"/>
      <c r="N802" s="458"/>
      <c r="O802" s="458"/>
      <c r="P802" s="458"/>
      <c r="Q802" s="458"/>
      <c r="R802" s="458"/>
      <c r="S802" s="458"/>
      <c r="T802" s="458"/>
      <c r="U802" s="458"/>
      <c r="V802" s="458"/>
      <c r="W802" s="458"/>
    </row>
    <row r="803" spans="1:23" ht="15.75" customHeight="1">
      <c r="A803" s="458"/>
      <c r="B803" s="458"/>
      <c r="C803" s="458"/>
      <c r="D803" s="458"/>
      <c r="E803" s="458"/>
      <c r="F803" s="458"/>
      <c r="G803" s="458"/>
      <c r="H803" s="458"/>
      <c r="I803" s="458"/>
      <c r="J803" s="458"/>
      <c r="K803" s="458"/>
      <c r="L803" s="458"/>
      <c r="M803" s="458"/>
      <c r="N803" s="458"/>
      <c r="O803" s="458"/>
      <c r="P803" s="458"/>
      <c r="Q803" s="458"/>
      <c r="R803" s="458"/>
      <c r="S803" s="458"/>
      <c r="T803" s="458"/>
      <c r="U803" s="458"/>
      <c r="V803" s="458"/>
      <c r="W803" s="458"/>
    </row>
    <row r="804" spans="1:23" ht="15.75" customHeight="1">
      <c r="A804" s="458"/>
      <c r="B804" s="458"/>
      <c r="C804" s="458"/>
      <c r="D804" s="458"/>
      <c r="E804" s="458"/>
      <c r="F804" s="458"/>
      <c r="G804" s="458"/>
      <c r="H804" s="458"/>
      <c r="I804" s="458"/>
      <c r="J804" s="458"/>
      <c r="K804" s="458"/>
      <c r="L804" s="458"/>
      <c r="M804" s="458"/>
      <c r="N804" s="458"/>
      <c r="O804" s="458"/>
      <c r="P804" s="458"/>
      <c r="Q804" s="458"/>
      <c r="R804" s="458"/>
      <c r="S804" s="458"/>
      <c r="T804" s="458"/>
      <c r="U804" s="458"/>
      <c r="V804" s="458"/>
      <c r="W804" s="458"/>
    </row>
    <row r="805" spans="1:23" ht="15.75" customHeight="1">
      <c r="A805" s="458"/>
      <c r="B805" s="458"/>
      <c r="C805" s="458"/>
      <c r="D805" s="458"/>
      <c r="E805" s="458"/>
      <c r="F805" s="458"/>
      <c r="G805" s="458"/>
      <c r="H805" s="458"/>
      <c r="I805" s="458"/>
      <c r="J805" s="458"/>
      <c r="K805" s="458"/>
      <c r="L805" s="458"/>
      <c r="M805" s="458"/>
      <c r="N805" s="458"/>
      <c r="O805" s="458"/>
      <c r="P805" s="458"/>
      <c r="Q805" s="458"/>
      <c r="R805" s="458"/>
      <c r="S805" s="458"/>
      <c r="T805" s="458"/>
      <c r="U805" s="458"/>
      <c r="V805" s="458"/>
      <c r="W805" s="458"/>
    </row>
    <row r="806" spans="1:23" ht="15.75" customHeight="1">
      <c r="A806" s="458"/>
      <c r="B806" s="458"/>
      <c r="C806" s="458"/>
      <c r="D806" s="458"/>
      <c r="E806" s="458"/>
      <c r="F806" s="458"/>
      <c r="G806" s="458"/>
      <c r="H806" s="458"/>
      <c r="I806" s="458"/>
      <c r="J806" s="458"/>
      <c r="K806" s="458"/>
      <c r="L806" s="458"/>
      <c r="M806" s="458"/>
      <c r="N806" s="458"/>
      <c r="O806" s="458"/>
      <c r="P806" s="458"/>
      <c r="Q806" s="458"/>
      <c r="R806" s="458"/>
      <c r="S806" s="458"/>
      <c r="T806" s="458"/>
      <c r="U806" s="458"/>
      <c r="V806" s="458"/>
      <c r="W806" s="458"/>
    </row>
    <row r="807" spans="1:23" ht="15.75" customHeight="1">
      <c r="A807" s="458"/>
      <c r="B807" s="458"/>
      <c r="C807" s="458"/>
      <c r="D807" s="458"/>
      <c r="E807" s="458"/>
      <c r="F807" s="458"/>
      <c r="G807" s="458"/>
      <c r="H807" s="458"/>
      <c r="I807" s="458"/>
      <c r="J807" s="458"/>
      <c r="K807" s="458"/>
      <c r="L807" s="458"/>
      <c r="M807" s="458"/>
      <c r="N807" s="458"/>
      <c r="O807" s="458"/>
      <c r="P807" s="458"/>
      <c r="Q807" s="458"/>
      <c r="R807" s="458"/>
      <c r="S807" s="458"/>
      <c r="T807" s="458"/>
      <c r="U807" s="458"/>
      <c r="V807" s="458"/>
      <c r="W807" s="458"/>
    </row>
    <row r="808" spans="1:23" ht="15.75" customHeight="1">
      <c r="A808" s="458"/>
      <c r="B808" s="458"/>
      <c r="C808" s="458"/>
      <c r="D808" s="458"/>
      <c r="E808" s="458"/>
      <c r="F808" s="458"/>
      <c r="G808" s="458"/>
      <c r="H808" s="458"/>
      <c r="I808" s="458"/>
      <c r="J808" s="458"/>
      <c r="K808" s="458"/>
      <c r="L808" s="458"/>
      <c r="M808" s="458"/>
      <c r="N808" s="458"/>
      <c r="O808" s="458"/>
      <c r="P808" s="458"/>
      <c r="Q808" s="458"/>
      <c r="R808" s="458"/>
      <c r="S808" s="458"/>
      <c r="T808" s="458"/>
      <c r="U808" s="458"/>
      <c r="V808" s="458"/>
      <c r="W808" s="458"/>
    </row>
    <row r="809" spans="1:23" ht="15.75" customHeight="1">
      <c r="A809" s="458"/>
      <c r="B809" s="458"/>
      <c r="C809" s="458"/>
      <c r="D809" s="458"/>
      <c r="E809" s="458"/>
      <c r="F809" s="458"/>
      <c r="G809" s="458"/>
      <c r="H809" s="458"/>
      <c r="I809" s="458"/>
      <c r="J809" s="458"/>
      <c r="K809" s="458"/>
      <c r="L809" s="458"/>
      <c r="M809" s="458"/>
      <c r="N809" s="458"/>
      <c r="O809" s="458"/>
      <c r="P809" s="458"/>
      <c r="Q809" s="458"/>
      <c r="R809" s="458"/>
      <c r="S809" s="458"/>
      <c r="T809" s="458"/>
      <c r="U809" s="458"/>
      <c r="V809" s="458"/>
      <c r="W809" s="458"/>
    </row>
    <row r="810" spans="1:23" ht="15.75" customHeight="1">
      <c r="A810" s="458"/>
      <c r="B810" s="458"/>
      <c r="C810" s="458"/>
      <c r="D810" s="458"/>
      <c r="E810" s="458"/>
      <c r="F810" s="458"/>
      <c r="G810" s="458"/>
      <c r="H810" s="458"/>
      <c r="I810" s="458"/>
      <c r="J810" s="458"/>
      <c r="K810" s="458"/>
      <c r="L810" s="458"/>
      <c r="M810" s="458"/>
      <c r="N810" s="458"/>
      <c r="O810" s="458"/>
      <c r="P810" s="458"/>
      <c r="Q810" s="458"/>
      <c r="R810" s="458"/>
      <c r="S810" s="458"/>
      <c r="T810" s="458"/>
      <c r="U810" s="458"/>
      <c r="V810" s="458"/>
      <c r="W810" s="458"/>
    </row>
    <row r="811" spans="1:23" ht="15.75" customHeight="1">
      <c r="A811" s="458"/>
      <c r="B811" s="458"/>
      <c r="C811" s="458"/>
      <c r="D811" s="458"/>
      <c r="E811" s="458"/>
      <c r="F811" s="458"/>
      <c r="G811" s="458"/>
      <c r="H811" s="458"/>
      <c r="I811" s="458"/>
      <c r="J811" s="458"/>
      <c r="K811" s="458"/>
      <c r="L811" s="458"/>
      <c r="M811" s="458"/>
      <c r="N811" s="458"/>
      <c r="O811" s="458"/>
      <c r="P811" s="458"/>
      <c r="Q811" s="458"/>
      <c r="R811" s="458"/>
      <c r="S811" s="458"/>
      <c r="T811" s="458"/>
      <c r="U811" s="458"/>
      <c r="V811" s="458"/>
      <c r="W811" s="458"/>
    </row>
    <row r="812" spans="1:23" ht="15.75" customHeight="1">
      <c r="A812" s="458"/>
      <c r="B812" s="458"/>
      <c r="C812" s="458"/>
      <c r="D812" s="458"/>
      <c r="E812" s="458"/>
      <c r="F812" s="458"/>
      <c r="G812" s="458"/>
      <c r="H812" s="458"/>
      <c r="I812" s="458"/>
      <c r="J812" s="458"/>
      <c r="K812" s="458"/>
      <c r="L812" s="458"/>
      <c r="M812" s="458"/>
      <c r="N812" s="458"/>
      <c r="O812" s="458"/>
      <c r="P812" s="458"/>
      <c r="Q812" s="458"/>
      <c r="R812" s="458"/>
      <c r="S812" s="458"/>
      <c r="T812" s="458"/>
      <c r="U812" s="458"/>
      <c r="V812" s="458"/>
      <c r="W812" s="458"/>
    </row>
    <row r="813" spans="1:23" ht="15.75" customHeight="1">
      <c r="A813" s="458"/>
      <c r="B813" s="458"/>
      <c r="C813" s="458"/>
      <c r="D813" s="458"/>
      <c r="E813" s="458"/>
      <c r="F813" s="458"/>
      <c r="G813" s="458"/>
      <c r="H813" s="458"/>
      <c r="I813" s="458"/>
      <c r="J813" s="458"/>
      <c r="K813" s="458"/>
      <c r="L813" s="458"/>
      <c r="M813" s="458"/>
      <c r="N813" s="458"/>
      <c r="O813" s="458"/>
      <c r="P813" s="458"/>
      <c r="Q813" s="458"/>
      <c r="R813" s="458"/>
      <c r="S813" s="458"/>
      <c r="T813" s="458"/>
      <c r="U813" s="458"/>
      <c r="V813" s="458"/>
      <c r="W813" s="458"/>
    </row>
    <row r="814" spans="1:23" ht="15.75" customHeight="1">
      <c r="A814" s="458"/>
      <c r="B814" s="458"/>
      <c r="C814" s="458"/>
      <c r="D814" s="458"/>
      <c r="E814" s="458"/>
      <c r="F814" s="458"/>
      <c r="G814" s="458"/>
      <c r="H814" s="458"/>
      <c r="I814" s="458"/>
      <c r="J814" s="458"/>
      <c r="K814" s="458"/>
      <c r="L814" s="458"/>
      <c r="M814" s="458"/>
      <c r="N814" s="458"/>
      <c r="O814" s="458"/>
      <c r="P814" s="458"/>
      <c r="Q814" s="458"/>
      <c r="R814" s="458"/>
      <c r="S814" s="458"/>
      <c r="T814" s="458"/>
      <c r="U814" s="458"/>
      <c r="V814" s="458"/>
      <c r="W814" s="458"/>
    </row>
    <row r="815" spans="1:23" ht="15.75" customHeight="1">
      <c r="A815" s="458"/>
      <c r="B815" s="458"/>
      <c r="C815" s="458"/>
      <c r="D815" s="458"/>
      <c r="E815" s="458"/>
      <c r="F815" s="458"/>
      <c r="G815" s="458"/>
      <c r="H815" s="458"/>
      <c r="I815" s="458"/>
      <c r="J815" s="458"/>
      <c r="K815" s="458"/>
      <c r="L815" s="458"/>
      <c r="M815" s="458"/>
      <c r="N815" s="458"/>
      <c r="O815" s="458"/>
      <c r="P815" s="458"/>
      <c r="Q815" s="458"/>
      <c r="R815" s="458"/>
      <c r="S815" s="458"/>
      <c r="T815" s="458"/>
      <c r="U815" s="458"/>
      <c r="V815" s="458"/>
      <c r="W815" s="458"/>
    </row>
    <row r="816" spans="1:23" ht="15.75" customHeight="1">
      <c r="A816" s="458"/>
      <c r="B816" s="458"/>
      <c r="C816" s="458"/>
      <c r="D816" s="458"/>
      <c r="E816" s="458"/>
      <c r="F816" s="458"/>
      <c r="G816" s="458"/>
      <c r="H816" s="458"/>
      <c r="I816" s="458"/>
      <c r="J816" s="458"/>
      <c r="K816" s="458"/>
      <c r="L816" s="458"/>
      <c r="M816" s="458"/>
      <c r="N816" s="458"/>
      <c r="O816" s="458"/>
      <c r="P816" s="458"/>
      <c r="Q816" s="458"/>
      <c r="R816" s="458"/>
      <c r="S816" s="458"/>
      <c r="T816" s="458"/>
      <c r="U816" s="458"/>
      <c r="V816" s="458"/>
      <c r="W816" s="458"/>
    </row>
    <row r="817" spans="1:23" ht="15.75" customHeight="1">
      <c r="A817" s="458"/>
      <c r="B817" s="458"/>
      <c r="C817" s="458"/>
      <c r="D817" s="458"/>
      <c r="E817" s="458"/>
      <c r="F817" s="458"/>
      <c r="G817" s="458"/>
      <c r="H817" s="458"/>
      <c r="I817" s="458"/>
      <c r="J817" s="458"/>
      <c r="K817" s="458"/>
      <c r="L817" s="458"/>
      <c r="M817" s="458"/>
      <c r="N817" s="458"/>
      <c r="O817" s="458"/>
      <c r="P817" s="458"/>
      <c r="Q817" s="458"/>
      <c r="R817" s="458"/>
      <c r="S817" s="458"/>
      <c r="T817" s="458"/>
      <c r="U817" s="458"/>
      <c r="V817" s="458"/>
      <c r="W817" s="458"/>
    </row>
    <row r="818" spans="1:23" ht="15.75" customHeight="1">
      <c r="A818" s="458"/>
      <c r="B818" s="458"/>
      <c r="C818" s="458"/>
      <c r="D818" s="458"/>
      <c r="E818" s="458"/>
      <c r="F818" s="458"/>
      <c r="G818" s="458"/>
      <c r="H818" s="458"/>
      <c r="I818" s="458"/>
      <c r="J818" s="458"/>
      <c r="K818" s="458"/>
      <c r="L818" s="458"/>
      <c r="M818" s="458"/>
      <c r="N818" s="458"/>
      <c r="O818" s="458"/>
      <c r="P818" s="458"/>
      <c r="Q818" s="458"/>
      <c r="R818" s="458"/>
      <c r="S818" s="458"/>
      <c r="T818" s="458"/>
      <c r="U818" s="458"/>
      <c r="V818" s="458"/>
      <c r="W818" s="458"/>
    </row>
    <row r="819" spans="1:23" ht="15.75" customHeight="1">
      <c r="A819" s="458"/>
      <c r="B819" s="458"/>
      <c r="C819" s="458"/>
      <c r="D819" s="458"/>
      <c r="E819" s="458"/>
      <c r="F819" s="458"/>
      <c r="G819" s="458"/>
      <c r="H819" s="458"/>
      <c r="I819" s="458"/>
      <c r="J819" s="458"/>
      <c r="K819" s="458"/>
      <c r="L819" s="458"/>
      <c r="M819" s="458"/>
      <c r="N819" s="458"/>
      <c r="O819" s="458"/>
      <c r="P819" s="458"/>
      <c r="Q819" s="458"/>
      <c r="R819" s="458"/>
      <c r="S819" s="458"/>
      <c r="T819" s="458"/>
      <c r="U819" s="458"/>
      <c r="V819" s="458"/>
      <c r="W819" s="458"/>
    </row>
    <row r="820" spans="1:23" ht="15.75" customHeight="1">
      <c r="A820" s="458"/>
      <c r="B820" s="458"/>
      <c r="C820" s="458"/>
      <c r="D820" s="458"/>
      <c r="E820" s="458"/>
      <c r="F820" s="458"/>
      <c r="G820" s="458"/>
      <c r="H820" s="458"/>
      <c r="I820" s="458"/>
      <c r="J820" s="458"/>
      <c r="K820" s="458"/>
      <c r="L820" s="458"/>
      <c r="M820" s="458"/>
      <c r="N820" s="458"/>
      <c r="O820" s="458"/>
      <c r="P820" s="458"/>
      <c r="Q820" s="458"/>
      <c r="R820" s="458"/>
      <c r="S820" s="458"/>
      <c r="T820" s="458"/>
      <c r="U820" s="458"/>
      <c r="V820" s="458"/>
      <c r="W820" s="458"/>
    </row>
    <row r="821" spans="1:23" ht="15.75" customHeight="1">
      <c r="A821" s="458"/>
      <c r="B821" s="458"/>
      <c r="C821" s="458"/>
      <c r="D821" s="458"/>
      <c r="E821" s="458"/>
      <c r="F821" s="458"/>
      <c r="G821" s="458"/>
      <c r="H821" s="458"/>
      <c r="I821" s="458"/>
      <c r="J821" s="458"/>
      <c r="K821" s="458"/>
      <c r="L821" s="458"/>
      <c r="M821" s="458"/>
      <c r="N821" s="458"/>
      <c r="O821" s="458"/>
      <c r="P821" s="458"/>
      <c r="Q821" s="458"/>
      <c r="R821" s="458"/>
      <c r="S821" s="458"/>
      <c r="T821" s="458"/>
      <c r="U821" s="458"/>
      <c r="V821" s="458"/>
      <c r="W821" s="458"/>
    </row>
    <row r="822" spans="1:23" ht="15.75" customHeight="1">
      <c r="A822" s="458"/>
      <c r="B822" s="458"/>
      <c r="C822" s="458"/>
      <c r="D822" s="458"/>
      <c r="E822" s="458"/>
      <c r="F822" s="458"/>
      <c r="G822" s="458"/>
      <c r="H822" s="458"/>
      <c r="I822" s="458"/>
      <c r="J822" s="458"/>
      <c r="K822" s="458"/>
      <c r="L822" s="458"/>
      <c r="M822" s="458"/>
      <c r="N822" s="458"/>
      <c r="O822" s="458"/>
      <c r="P822" s="458"/>
      <c r="Q822" s="458"/>
      <c r="R822" s="458"/>
      <c r="S822" s="458"/>
      <c r="T822" s="458"/>
      <c r="U822" s="458"/>
      <c r="V822" s="458"/>
      <c r="W822" s="458"/>
    </row>
    <row r="823" spans="1:23" ht="15.75" customHeight="1">
      <c r="A823" s="458"/>
      <c r="B823" s="458"/>
      <c r="C823" s="458"/>
      <c r="D823" s="458"/>
      <c r="E823" s="458"/>
      <c r="F823" s="458"/>
      <c r="G823" s="458"/>
      <c r="H823" s="458"/>
      <c r="I823" s="458"/>
      <c r="J823" s="458"/>
      <c r="K823" s="458"/>
      <c r="L823" s="458"/>
      <c r="M823" s="458"/>
      <c r="N823" s="458"/>
      <c r="O823" s="458"/>
      <c r="P823" s="458"/>
      <c r="Q823" s="458"/>
      <c r="R823" s="458"/>
      <c r="S823" s="458"/>
      <c r="T823" s="458"/>
      <c r="U823" s="458"/>
      <c r="V823" s="458"/>
      <c r="W823" s="458"/>
    </row>
    <row r="824" spans="1:23" ht="15.75" customHeight="1">
      <c r="A824" s="458"/>
      <c r="B824" s="458"/>
      <c r="C824" s="458"/>
      <c r="D824" s="458"/>
      <c r="E824" s="458"/>
      <c r="F824" s="458"/>
      <c r="G824" s="458"/>
      <c r="H824" s="458"/>
      <c r="I824" s="458"/>
      <c r="J824" s="458"/>
      <c r="K824" s="458"/>
      <c r="L824" s="458"/>
      <c r="M824" s="458"/>
      <c r="N824" s="458"/>
      <c r="O824" s="458"/>
      <c r="P824" s="458"/>
      <c r="Q824" s="458"/>
      <c r="R824" s="458"/>
      <c r="S824" s="458"/>
      <c r="T824" s="458"/>
      <c r="U824" s="458"/>
      <c r="V824" s="458"/>
      <c r="W824" s="458"/>
    </row>
    <row r="825" spans="1:23" ht="15.75" customHeight="1">
      <c r="A825" s="458"/>
      <c r="B825" s="458"/>
      <c r="C825" s="458"/>
      <c r="D825" s="458"/>
      <c r="E825" s="458"/>
      <c r="F825" s="458"/>
      <c r="G825" s="458"/>
      <c r="H825" s="458"/>
      <c r="I825" s="458"/>
      <c r="J825" s="458"/>
      <c r="K825" s="458"/>
      <c r="L825" s="458"/>
      <c r="M825" s="458"/>
      <c r="N825" s="458"/>
      <c r="O825" s="458"/>
      <c r="P825" s="458"/>
      <c r="Q825" s="458"/>
      <c r="R825" s="458"/>
      <c r="S825" s="458"/>
      <c r="T825" s="458"/>
      <c r="U825" s="458"/>
      <c r="V825" s="458"/>
      <c r="W825" s="458"/>
    </row>
    <row r="826" spans="1:23" ht="15.75" customHeight="1">
      <c r="A826" s="458"/>
      <c r="B826" s="458"/>
      <c r="C826" s="458"/>
      <c r="D826" s="458"/>
      <c r="E826" s="458"/>
      <c r="F826" s="458"/>
      <c r="G826" s="458"/>
      <c r="H826" s="458"/>
      <c r="I826" s="458"/>
      <c r="J826" s="458"/>
      <c r="K826" s="458"/>
      <c r="L826" s="458"/>
      <c r="M826" s="458"/>
      <c r="N826" s="458"/>
      <c r="O826" s="458"/>
      <c r="P826" s="458"/>
      <c r="Q826" s="458"/>
      <c r="R826" s="458"/>
      <c r="S826" s="458"/>
      <c r="T826" s="458"/>
      <c r="U826" s="458"/>
      <c r="V826" s="458"/>
      <c r="W826" s="458"/>
    </row>
    <row r="827" spans="1:23" ht="15.75" customHeight="1">
      <c r="A827" s="458"/>
      <c r="B827" s="458"/>
      <c r="C827" s="458"/>
      <c r="D827" s="458"/>
      <c r="E827" s="458"/>
      <c r="F827" s="458"/>
      <c r="G827" s="458"/>
      <c r="H827" s="458"/>
      <c r="I827" s="458"/>
      <c r="J827" s="458"/>
      <c r="K827" s="458"/>
      <c r="L827" s="458"/>
      <c r="M827" s="458"/>
      <c r="N827" s="458"/>
      <c r="O827" s="458"/>
      <c r="P827" s="458"/>
      <c r="Q827" s="458"/>
      <c r="R827" s="458"/>
      <c r="S827" s="458"/>
      <c r="T827" s="458"/>
      <c r="U827" s="458"/>
      <c r="V827" s="458"/>
      <c r="W827" s="458"/>
    </row>
    <row r="828" spans="1:23" ht="15.75" customHeight="1">
      <c r="A828" s="458"/>
      <c r="B828" s="458"/>
      <c r="C828" s="458"/>
      <c r="D828" s="458"/>
      <c r="E828" s="458"/>
      <c r="F828" s="458"/>
      <c r="G828" s="458"/>
      <c r="H828" s="458"/>
      <c r="I828" s="458"/>
      <c r="J828" s="458"/>
      <c r="K828" s="458"/>
      <c r="L828" s="458"/>
      <c r="M828" s="458"/>
      <c r="N828" s="458"/>
      <c r="O828" s="458"/>
      <c r="P828" s="458"/>
      <c r="Q828" s="458"/>
      <c r="R828" s="458"/>
      <c r="S828" s="458"/>
      <c r="T828" s="458"/>
      <c r="U828" s="458"/>
      <c r="V828" s="458"/>
      <c r="W828" s="458"/>
    </row>
    <row r="829" spans="1:23" ht="15.75" customHeight="1">
      <c r="A829" s="458"/>
      <c r="B829" s="458"/>
      <c r="C829" s="458"/>
      <c r="D829" s="458"/>
      <c r="E829" s="458"/>
      <c r="F829" s="458"/>
      <c r="G829" s="458"/>
      <c r="H829" s="458"/>
      <c r="I829" s="458"/>
      <c r="J829" s="458"/>
      <c r="K829" s="458"/>
      <c r="L829" s="458"/>
      <c r="M829" s="458"/>
      <c r="N829" s="458"/>
      <c r="O829" s="458"/>
      <c r="P829" s="458"/>
      <c r="Q829" s="458"/>
      <c r="R829" s="458"/>
      <c r="S829" s="458"/>
      <c r="T829" s="458"/>
      <c r="U829" s="458"/>
      <c r="V829" s="458"/>
      <c r="W829" s="458"/>
    </row>
    <row r="830" spans="1:23" ht="15.75" customHeight="1">
      <c r="A830" s="458"/>
      <c r="B830" s="458"/>
      <c r="C830" s="458"/>
      <c r="D830" s="458"/>
      <c r="E830" s="458"/>
      <c r="F830" s="458"/>
      <c r="G830" s="458"/>
      <c r="H830" s="458"/>
      <c r="I830" s="458"/>
      <c r="J830" s="458"/>
      <c r="K830" s="458"/>
      <c r="L830" s="458"/>
      <c r="M830" s="458"/>
      <c r="N830" s="458"/>
      <c r="O830" s="458"/>
      <c r="P830" s="458"/>
      <c r="Q830" s="458"/>
      <c r="R830" s="458"/>
      <c r="S830" s="458"/>
      <c r="T830" s="458"/>
      <c r="U830" s="458"/>
      <c r="V830" s="458"/>
      <c r="W830" s="458"/>
    </row>
    <row r="831" spans="1:23" ht="15.75" customHeight="1">
      <c r="A831" s="458"/>
      <c r="B831" s="458"/>
      <c r="C831" s="458"/>
      <c r="D831" s="458"/>
      <c r="E831" s="458"/>
      <c r="F831" s="458"/>
      <c r="G831" s="458"/>
      <c r="H831" s="458"/>
      <c r="I831" s="458"/>
      <c r="J831" s="458"/>
      <c r="K831" s="458"/>
      <c r="L831" s="458"/>
      <c r="M831" s="458"/>
      <c r="N831" s="458"/>
      <c r="O831" s="458"/>
      <c r="P831" s="458"/>
      <c r="Q831" s="458"/>
      <c r="R831" s="458"/>
      <c r="S831" s="458"/>
      <c r="T831" s="458"/>
      <c r="U831" s="458"/>
      <c r="V831" s="458"/>
      <c r="W831" s="458"/>
    </row>
    <row r="832" spans="1:23" ht="15.75" customHeight="1">
      <c r="A832" s="458"/>
      <c r="B832" s="458"/>
      <c r="C832" s="458"/>
      <c r="D832" s="458"/>
      <c r="E832" s="458"/>
      <c r="F832" s="458"/>
      <c r="G832" s="458"/>
      <c r="H832" s="458"/>
      <c r="I832" s="458"/>
      <c r="J832" s="458"/>
      <c r="K832" s="458"/>
      <c r="L832" s="458"/>
      <c r="M832" s="458"/>
      <c r="N832" s="458"/>
      <c r="O832" s="458"/>
      <c r="P832" s="458"/>
      <c r="Q832" s="458"/>
      <c r="R832" s="458"/>
      <c r="S832" s="458"/>
      <c r="T832" s="458"/>
      <c r="U832" s="458"/>
      <c r="V832" s="458"/>
      <c r="W832" s="458"/>
    </row>
    <row r="833" spans="1:23" ht="15.75" customHeight="1">
      <c r="A833" s="458"/>
      <c r="B833" s="458"/>
      <c r="C833" s="458"/>
      <c r="D833" s="458"/>
      <c r="E833" s="458"/>
      <c r="F833" s="458"/>
      <c r="G833" s="458"/>
      <c r="H833" s="458"/>
      <c r="I833" s="458"/>
      <c r="J833" s="458"/>
      <c r="K833" s="458"/>
      <c r="L833" s="458"/>
      <c r="M833" s="458"/>
      <c r="N833" s="458"/>
      <c r="O833" s="458"/>
      <c r="P833" s="458"/>
      <c r="Q833" s="458"/>
      <c r="R833" s="458"/>
      <c r="S833" s="458"/>
      <c r="T833" s="458"/>
      <c r="U833" s="458"/>
      <c r="V833" s="458"/>
      <c r="W833" s="458"/>
    </row>
    <row r="834" spans="1:23" ht="15.75" customHeight="1">
      <c r="A834" s="458"/>
      <c r="B834" s="458"/>
      <c r="C834" s="458"/>
      <c r="D834" s="458"/>
      <c r="E834" s="458"/>
      <c r="F834" s="458"/>
      <c r="G834" s="458"/>
      <c r="H834" s="458"/>
      <c r="I834" s="458"/>
      <c r="J834" s="458"/>
      <c r="K834" s="458"/>
      <c r="L834" s="458"/>
      <c r="M834" s="458"/>
      <c r="N834" s="458"/>
      <c r="O834" s="458"/>
      <c r="P834" s="458"/>
      <c r="Q834" s="458"/>
      <c r="R834" s="458"/>
      <c r="S834" s="458"/>
      <c r="T834" s="458"/>
      <c r="U834" s="458"/>
      <c r="V834" s="458"/>
      <c r="W834" s="458"/>
    </row>
    <row r="835" spans="1:23" ht="15.75" customHeight="1">
      <c r="A835" s="458"/>
      <c r="B835" s="458"/>
      <c r="C835" s="458"/>
      <c r="D835" s="458"/>
      <c r="E835" s="458"/>
      <c r="F835" s="458"/>
      <c r="G835" s="458"/>
      <c r="H835" s="458"/>
      <c r="I835" s="458"/>
      <c r="J835" s="458"/>
      <c r="K835" s="458"/>
      <c r="L835" s="458"/>
      <c r="M835" s="458"/>
      <c r="N835" s="458"/>
      <c r="O835" s="458"/>
      <c r="P835" s="458"/>
      <c r="Q835" s="458"/>
      <c r="R835" s="458"/>
      <c r="S835" s="458"/>
      <c r="T835" s="458"/>
      <c r="U835" s="458"/>
      <c r="V835" s="458"/>
      <c r="W835" s="458"/>
    </row>
    <row r="836" spans="1:23" ht="15.75" customHeight="1">
      <c r="A836" s="458"/>
      <c r="B836" s="458"/>
      <c r="C836" s="458"/>
      <c r="D836" s="458"/>
      <c r="E836" s="458"/>
      <c r="F836" s="458"/>
      <c r="G836" s="458"/>
      <c r="H836" s="458"/>
      <c r="I836" s="458"/>
      <c r="J836" s="458"/>
      <c r="K836" s="458"/>
      <c r="L836" s="458"/>
      <c r="M836" s="458"/>
      <c r="N836" s="458"/>
      <c r="O836" s="458"/>
      <c r="P836" s="458"/>
      <c r="Q836" s="458"/>
      <c r="R836" s="458"/>
      <c r="S836" s="458"/>
      <c r="T836" s="458"/>
      <c r="U836" s="458"/>
      <c r="V836" s="458"/>
      <c r="W836" s="458"/>
    </row>
    <row r="837" spans="1:23" ht="15.75" customHeight="1">
      <c r="A837" s="458"/>
      <c r="B837" s="458"/>
      <c r="C837" s="458"/>
      <c r="D837" s="458"/>
      <c r="E837" s="458"/>
      <c r="F837" s="458"/>
      <c r="G837" s="458"/>
      <c r="H837" s="458"/>
      <c r="I837" s="458"/>
      <c r="J837" s="458"/>
      <c r="K837" s="458"/>
      <c r="L837" s="458"/>
      <c r="M837" s="458"/>
      <c r="N837" s="458"/>
      <c r="O837" s="458"/>
      <c r="P837" s="458"/>
      <c r="Q837" s="458"/>
      <c r="R837" s="458"/>
      <c r="S837" s="458"/>
      <c r="T837" s="458"/>
      <c r="U837" s="458"/>
      <c r="V837" s="458"/>
      <c r="W837" s="458"/>
    </row>
    <row r="838" spans="1:23" ht="15.75" customHeight="1">
      <c r="A838" s="458"/>
      <c r="B838" s="458"/>
      <c r="C838" s="458"/>
      <c r="D838" s="458"/>
      <c r="E838" s="458"/>
      <c r="F838" s="458"/>
      <c r="G838" s="458"/>
      <c r="H838" s="458"/>
      <c r="I838" s="458"/>
      <c r="J838" s="458"/>
      <c r="K838" s="458"/>
      <c r="L838" s="458"/>
      <c r="M838" s="458"/>
      <c r="N838" s="458"/>
      <c r="O838" s="458"/>
      <c r="P838" s="458"/>
      <c r="Q838" s="458"/>
      <c r="R838" s="458"/>
      <c r="S838" s="458"/>
      <c r="T838" s="458"/>
      <c r="U838" s="458"/>
      <c r="V838" s="458"/>
      <c r="W838" s="458"/>
    </row>
    <row r="839" spans="1:23" ht="15.75" customHeight="1">
      <c r="A839" s="458"/>
      <c r="B839" s="458"/>
      <c r="C839" s="458"/>
      <c r="D839" s="458"/>
      <c r="E839" s="458"/>
      <c r="F839" s="458"/>
      <c r="G839" s="458"/>
      <c r="H839" s="458"/>
      <c r="I839" s="458"/>
      <c r="J839" s="458"/>
      <c r="K839" s="458"/>
      <c r="L839" s="458"/>
      <c r="M839" s="458"/>
      <c r="N839" s="458"/>
      <c r="O839" s="458"/>
      <c r="P839" s="458"/>
      <c r="Q839" s="458"/>
      <c r="R839" s="458"/>
      <c r="S839" s="458"/>
      <c r="T839" s="458"/>
      <c r="U839" s="458"/>
      <c r="V839" s="458"/>
      <c r="W839" s="458"/>
    </row>
    <row r="840" spans="1:23" ht="15.75" customHeight="1">
      <c r="A840" s="458"/>
      <c r="B840" s="458"/>
      <c r="C840" s="458"/>
      <c r="D840" s="458"/>
      <c r="E840" s="458"/>
      <c r="F840" s="458"/>
      <c r="G840" s="458"/>
      <c r="H840" s="458"/>
      <c r="I840" s="458"/>
      <c r="J840" s="458"/>
      <c r="K840" s="458"/>
      <c r="L840" s="458"/>
      <c r="M840" s="458"/>
      <c r="N840" s="458"/>
      <c r="O840" s="458"/>
      <c r="P840" s="458"/>
      <c r="Q840" s="458"/>
      <c r="R840" s="458"/>
      <c r="S840" s="458"/>
      <c r="T840" s="458"/>
      <c r="U840" s="458"/>
      <c r="V840" s="458"/>
      <c r="W840" s="458"/>
    </row>
    <row r="841" spans="1:23" ht="15.75" customHeight="1">
      <c r="A841" s="458"/>
      <c r="B841" s="458"/>
      <c r="C841" s="458"/>
      <c r="D841" s="458"/>
      <c r="E841" s="458"/>
      <c r="F841" s="458"/>
      <c r="G841" s="458"/>
      <c r="H841" s="458"/>
      <c r="I841" s="458"/>
      <c r="J841" s="458"/>
      <c r="K841" s="458"/>
      <c r="L841" s="458"/>
      <c r="M841" s="458"/>
      <c r="N841" s="458"/>
      <c r="O841" s="458"/>
      <c r="P841" s="458"/>
      <c r="Q841" s="458"/>
      <c r="R841" s="458"/>
      <c r="S841" s="458"/>
      <c r="T841" s="458"/>
      <c r="U841" s="458"/>
      <c r="V841" s="458"/>
      <c r="W841" s="458"/>
    </row>
    <row r="842" spans="1:23" ht="15.75" customHeight="1">
      <c r="A842" s="458"/>
      <c r="B842" s="458"/>
      <c r="C842" s="458"/>
      <c r="D842" s="458"/>
      <c r="E842" s="458"/>
      <c r="F842" s="458"/>
      <c r="G842" s="458"/>
      <c r="H842" s="458"/>
      <c r="I842" s="458"/>
      <c r="J842" s="458"/>
      <c r="K842" s="458"/>
      <c r="L842" s="458"/>
      <c r="M842" s="458"/>
      <c r="N842" s="458"/>
      <c r="O842" s="458"/>
      <c r="P842" s="458"/>
      <c r="Q842" s="458"/>
      <c r="R842" s="458"/>
      <c r="S842" s="458"/>
      <c r="T842" s="458"/>
      <c r="U842" s="458"/>
      <c r="V842" s="458"/>
      <c r="W842" s="458"/>
    </row>
    <row r="843" spans="1:23" ht="15.75" customHeight="1">
      <c r="A843" s="458"/>
      <c r="B843" s="458"/>
      <c r="C843" s="458"/>
      <c r="D843" s="458"/>
      <c r="E843" s="458"/>
      <c r="F843" s="458"/>
      <c r="G843" s="458"/>
      <c r="H843" s="458"/>
      <c r="I843" s="458"/>
      <c r="J843" s="458"/>
      <c r="K843" s="458"/>
      <c r="L843" s="458"/>
      <c r="M843" s="458"/>
      <c r="N843" s="458"/>
      <c r="O843" s="458"/>
      <c r="P843" s="458"/>
      <c r="Q843" s="458"/>
      <c r="R843" s="458"/>
      <c r="S843" s="458"/>
      <c r="T843" s="458"/>
      <c r="U843" s="458"/>
      <c r="V843" s="458"/>
      <c r="W843" s="458"/>
    </row>
    <row r="844" spans="1:23" ht="15.75" customHeight="1">
      <c r="A844" s="458"/>
      <c r="B844" s="458"/>
      <c r="C844" s="458"/>
      <c r="D844" s="458"/>
      <c r="E844" s="458"/>
      <c r="F844" s="458"/>
      <c r="G844" s="458"/>
      <c r="H844" s="458"/>
      <c r="I844" s="458"/>
      <c r="J844" s="458"/>
      <c r="K844" s="458"/>
      <c r="L844" s="458"/>
      <c r="M844" s="458"/>
      <c r="N844" s="458"/>
      <c r="O844" s="458"/>
      <c r="P844" s="458"/>
      <c r="Q844" s="458"/>
      <c r="R844" s="458"/>
      <c r="S844" s="458"/>
      <c r="T844" s="458"/>
      <c r="U844" s="458"/>
      <c r="V844" s="458"/>
      <c r="W844" s="458"/>
    </row>
    <row r="845" spans="1:23" ht="15.75" customHeight="1">
      <c r="A845" s="458"/>
      <c r="B845" s="458"/>
      <c r="C845" s="458"/>
      <c r="D845" s="458"/>
      <c r="E845" s="458"/>
      <c r="F845" s="458"/>
      <c r="G845" s="458"/>
      <c r="H845" s="458"/>
      <c r="I845" s="458"/>
      <c r="J845" s="458"/>
      <c r="K845" s="458"/>
      <c r="L845" s="458"/>
      <c r="M845" s="458"/>
      <c r="N845" s="458"/>
      <c r="O845" s="458"/>
      <c r="P845" s="458"/>
      <c r="Q845" s="458"/>
      <c r="R845" s="458"/>
      <c r="S845" s="458"/>
      <c r="T845" s="458"/>
      <c r="U845" s="458"/>
      <c r="V845" s="458"/>
      <c r="W845" s="458"/>
    </row>
    <row r="846" spans="1:23" ht="15.75" customHeight="1">
      <c r="A846" s="458"/>
      <c r="B846" s="458"/>
      <c r="C846" s="458"/>
      <c r="D846" s="458"/>
      <c r="E846" s="458"/>
      <c r="F846" s="458"/>
      <c r="G846" s="458"/>
      <c r="H846" s="458"/>
      <c r="I846" s="458"/>
      <c r="J846" s="458"/>
      <c r="K846" s="458"/>
      <c r="L846" s="458"/>
      <c r="M846" s="458"/>
      <c r="N846" s="458"/>
      <c r="O846" s="458"/>
      <c r="P846" s="458"/>
      <c r="Q846" s="458"/>
      <c r="R846" s="458"/>
      <c r="S846" s="458"/>
      <c r="T846" s="458"/>
      <c r="U846" s="458"/>
      <c r="V846" s="458"/>
      <c r="W846" s="458"/>
    </row>
    <row r="847" spans="1:23" ht="15.75" customHeight="1">
      <c r="A847" s="458"/>
      <c r="B847" s="458"/>
      <c r="C847" s="458"/>
      <c r="D847" s="458"/>
      <c r="E847" s="458"/>
      <c r="F847" s="458"/>
      <c r="G847" s="458"/>
      <c r="H847" s="458"/>
      <c r="I847" s="458"/>
      <c r="J847" s="458"/>
      <c r="K847" s="458"/>
      <c r="L847" s="458"/>
      <c r="M847" s="458"/>
      <c r="N847" s="458"/>
      <c r="O847" s="458"/>
      <c r="P847" s="458"/>
      <c r="Q847" s="458"/>
      <c r="R847" s="458"/>
      <c r="S847" s="458"/>
      <c r="T847" s="458"/>
      <c r="U847" s="458"/>
      <c r="V847" s="458"/>
      <c r="W847" s="458"/>
    </row>
    <row r="848" spans="1:23" ht="15.75" customHeight="1">
      <c r="A848" s="458"/>
      <c r="B848" s="458"/>
      <c r="C848" s="458"/>
      <c r="D848" s="458"/>
      <c r="E848" s="458"/>
      <c r="F848" s="458"/>
      <c r="G848" s="458"/>
      <c r="H848" s="458"/>
      <c r="I848" s="458"/>
      <c r="J848" s="458"/>
      <c r="K848" s="458"/>
      <c r="L848" s="458"/>
      <c r="M848" s="458"/>
      <c r="N848" s="458"/>
      <c r="O848" s="458"/>
      <c r="P848" s="458"/>
      <c r="Q848" s="458"/>
      <c r="R848" s="458"/>
      <c r="S848" s="458"/>
      <c r="T848" s="458"/>
      <c r="U848" s="458"/>
      <c r="V848" s="458"/>
      <c r="W848" s="458"/>
    </row>
    <row r="849" spans="1:23" ht="15.75" customHeight="1">
      <c r="A849" s="458"/>
      <c r="B849" s="458"/>
      <c r="C849" s="458"/>
      <c r="D849" s="458"/>
      <c r="E849" s="458"/>
      <c r="F849" s="458"/>
      <c r="G849" s="458"/>
      <c r="H849" s="458"/>
      <c r="I849" s="458"/>
      <c r="J849" s="458"/>
      <c r="K849" s="458"/>
      <c r="L849" s="458"/>
      <c r="M849" s="458"/>
      <c r="N849" s="458"/>
      <c r="O849" s="458"/>
      <c r="P849" s="458"/>
      <c r="Q849" s="458"/>
      <c r="R849" s="458"/>
      <c r="S849" s="458"/>
      <c r="T849" s="458"/>
      <c r="U849" s="458"/>
      <c r="V849" s="458"/>
      <c r="W849" s="458"/>
    </row>
    <row r="850" spans="1:23" ht="15.75" customHeight="1">
      <c r="A850" s="458"/>
      <c r="B850" s="458"/>
      <c r="C850" s="458"/>
      <c r="D850" s="458"/>
      <c r="E850" s="458"/>
      <c r="F850" s="458"/>
      <c r="G850" s="458"/>
      <c r="H850" s="458"/>
      <c r="I850" s="458"/>
      <c r="J850" s="458"/>
      <c r="K850" s="458"/>
      <c r="L850" s="458"/>
      <c r="M850" s="458"/>
      <c r="N850" s="458"/>
      <c r="O850" s="458"/>
      <c r="P850" s="458"/>
      <c r="Q850" s="458"/>
      <c r="R850" s="458"/>
      <c r="S850" s="458"/>
      <c r="T850" s="458"/>
      <c r="U850" s="458"/>
      <c r="V850" s="458"/>
      <c r="W850" s="458"/>
    </row>
    <row r="851" spans="1:23" ht="15.75" customHeight="1">
      <c r="A851" s="458"/>
      <c r="B851" s="458"/>
      <c r="C851" s="458"/>
      <c r="D851" s="458"/>
      <c r="E851" s="458"/>
      <c r="F851" s="458"/>
      <c r="G851" s="458"/>
      <c r="H851" s="458"/>
      <c r="I851" s="458"/>
      <c r="J851" s="458"/>
      <c r="K851" s="458"/>
      <c r="L851" s="458"/>
      <c r="M851" s="458"/>
      <c r="N851" s="458"/>
      <c r="O851" s="458"/>
      <c r="P851" s="458"/>
      <c r="Q851" s="458"/>
      <c r="R851" s="458"/>
      <c r="S851" s="458"/>
      <c r="T851" s="458"/>
      <c r="U851" s="458"/>
      <c r="V851" s="458"/>
      <c r="W851" s="458"/>
    </row>
    <row r="852" spans="1:23" ht="15.75" customHeight="1">
      <c r="A852" s="458"/>
      <c r="B852" s="458"/>
      <c r="C852" s="458"/>
      <c r="D852" s="458"/>
      <c r="E852" s="458"/>
      <c r="F852" s="458"/>
      <c r="G852" s="458"/>
      <c r="H852" s="458"/>
      <c r="I852" s="458"/>
      <c r="J852" s="458"/>
      <c r="K852" s="458"/>
      <c r="L852" s="458"/>
      <c r="M852" s="458"/>
      <c r="N852" s="458"/>
      <c r="O852" s="458"/>
      <c r="P852" s="458"/>
      <c r="Q852" s="458"/>
      <c r="R852" s="458"/>
      <c r="S852" s="458"/>
      <c r="T852" s="458"/>
      <c r="U852" s="458"/>
      <c r="V852" s="458"/>
      <c r="W852" s="458"/>
    </row>
    <row r="853" spans="1:23" ht="15.75" customHeight="1">
      <c r="A853" s="458"/>
      <c r="B853" s="458"/>
      <c r="C853" s="458"/>
      <c r="D853" s="458"/>
      <c r="E853" s="458"/>
      <c r="F853" s="458"/>
      <c r="G853" s="458"/>
      <c r="H853" s="458"/>
      <c r="I853" s="458"/>
      <c r="J853" s="458"/>
      <c r="K853" s="458"/>
      <c r="L853" s="458"/>
      <c r="M853" s="458"/>
      <c r="N853" s="458"/>
      <c r="O853" s="458"/>
      <c r="P853" s="458"/>
      <c r="Q853" s="458"/>
      <c r="R853" s="458"/>
      <c r="S853" s="458"/>
      <c r="T853" s="458"/>
      <c r="U853" s="458"/>
      <c r="V853" s="458"/>
      <c r="W853" s="458"/>
    </row>
    <row r="854" spans="1:23" ht="15.75" customHeight="1">
      <c r="A854" s="458"/>
      <c r="B854" s="458"/>
      <c r="C854" s="458"/>
      <c r="D854" s="458"/>
      <c r="E854" s="458"/>
      <c r="F854" s="458"/>
      <c r="G854" s="458"/>
      <c r="H854" s="458"/>
      <c r="I854" s="458"/>
      <c r="J854" s="458"/>
      <c r="K854" s="458"/>
      <c r="L854" s="458"/>
      <c r="M854" s="458"/>
      <c r="N854" s="458"/>
      <c r="O854" s="458"/>
      <c r="P854" s="458"/>
      <c r="Q854" s="458"/>
      <c r="R854" s="458"/>
      <c r="S854" s="458"/>
      <c r="T854" s="458"/>
      <c r="U854" s="458"/>
      <c r="V854" s="458"/>
      <c r="W854" s="458"/>
    </row>
    <row r="855" spans="1:23" ht="15.75" customHeight="1">
      <c r="A855" s="458"/>
      <c r="B855" s="458"/>
      <c r="C855" s="458"/>
      <c r="D855" s="458"/>
      <c r="E855" s="458"/>
      <c r="F855" s="458"/>
      <c r="G855" s="458"/>
      <c r="H855" s="458"/>
      <c r="I855" s="458"/>
      <c r="J855" s="458"/>
      <c r="K855" s="458"/>
      <c r="L855" s="458"/>
      <c r="M855" s="458"/>
      <c r="N855" s="458"/>
      <c r="O855" s="458"/>
      <c r="P855" s="458"/>
      <c r="Q855" s="458"/>
      <c r="R855" s="458"/>
      <c r="S855" s="458"/>
      <c r="T855" s="458"/>
      <c r="U855" s="458"/>
      <c r="V855" s="458"/>
      <c r="W855" s="458"/>
    </row>
    <row r="856" spans="1:23" ht="15.75" customHeight="1">
      <c r="A856" s="458"/>
      <c r="B856" s="458"/>
      <c r="C856" s="458"/>
      <c r="D856" s="458"/>
      <c r="E856" s="458"/>
      <c r="F856" s="458"/>
      <c r="G856" s="458"/>
      <c r="H856" s="458"/>
      <c r="I856" s="458"/>
      <c r="J856" s="458"/>
      <c r="K856" s="458"/>
      <c r="L856" s="458"/>
      <c r="M856" s="458"/>
      <c r="N856" s="458"/>
      <c r="O856" s="458"/>
      <c r="P856" s="458"/>
      <c r="Q856" s="458"/>
      <c r="R856" s="458"/>
      <c r="S856" s="458"/>
      <c r="T856" s="458"/>
      <c r="U856" s="458"/>
      <c r="V856" s="458"/>
      <c r="W856" s="458"/>
    </row>
    <row r="857" spans="1:23" ht="15.75" customHeight="1">
      <c r="A857" s="458"/>
      <c r="B857" s="458"/>
      <c r="C857" s="458"/>
      <c r="D857" s="458"/>
      <c r="E857" s="458"/>
      <c r="F857" s="458"/>
      <c r="G857" s="458"/>
      <c r="H857" s="458"/>
      <c r="I857" s="458"/>
      <c r="J857" s="458"/>
      <c r="K857" s="458"/>
      <c r="L857" s="458"/>
      <c r="M857" s="458"/>
      <c r="N857" s="458"/>
      <c r="O857" s="458"/>
      <c r="P857" s="458"/>
      <c r="Q857" s="458"/>
      <c r="R857" s="458"/>
      <c r="S857" s="458"/>
      <c r="T857" s="458"/>
      <c r="U857" s="458"/>
      <c r="V857" s="458"/>
      <c r="W857" s="458"/>
    </row>
    <row r="858" spans="1:23" ht="15.75" customHeight="1">
      <c r="A858" s="458"/>
      <c r="B858" s="458"/>
      <c r="C858" s="458"/>
      <c r="D858" s="458"/>
      <c r="E858" s="458"/>
      <c r="F858" s="458"/>
      <c r="G858" s="458"/>
      <c r="H858" s="458"/>
      <c r="I858" s="458"/>
      <c r="J858" s="458"/>
      <c r="K858" s="458"/>
      <c r="L858" s="458"/>
      <c r="M858" s="458"/>
      <c r="N858" s="458"/>
      <c r="O858" s="458"/>
      <c r="P858" s="458"/>
      <c r="Q858" s="458"/>
      <c r="R858" s="458"/>
      <c r="S858" s="458"/>
      <c r="T858" s="458"/>
      <c r="U858" s="458"/>
      <c r="V858" s="458"/>
      <c r="W858" s="458"/>
    </row>
    <row r="859" spans="1:23" ht="15.75" customHeight="1">
      <c r="A859" s="458"/>
      <c r="B859" s="458"/>
      <c r="C859" s="458"/>
      <c r="D859" s="458"/>
      <c r="E859" s="458"/>
      <c r="F859" s="458"/>
      <c r="G859" s="458"/>
      <c r="H859" s="458"/>
      <c r="I859" s="458"/>
      <c r="J859" s="458"/>
      <c r="K859" s="458"/>
      <c r="L859" s="458"/>
      <c r="M859" s="458"/>
      <c r="N859" s="458"/>
      <c r="O859" s="458"/>
      <c r="P859" s="458"/>
      <c r="Q859" s="458"/>
      <c r="R859" s="458"/>
      <c r="S859" s="458"/>
      <c r="T859" s="458"/>
      <c r="U859" s="458"/>
      <c r="V859" s="458"/>
      <c r="W859" s="458"/>
    </row>
    <row r="860" spans="1:23" ht="15.75" customHeight="1">
      <c r="A860" s="458"/>
      <c r="B860" s="458"/>
      <c r="C860" s="458"/>
      <c r="D860" s="458"/>
      <c r="E860" s="458"/>
      <c r="F860" s="458"/>
      <c r="G860" s="458"/>
      <c r="H860" s="458"/>
      <c r="I860" s="458"/>
      <c r="J860" s="458"/>
      <c r="K860" s="458"/>
      <c r="L860" s="458"/>
      <c r="M860" s="458"/>
      <c r="N860" s="458"/>
      <c r="O860" s="458"/>
      <c r="P860" s="458"/>
      <c r="Q860" s="458"/>
      <c r="R860" s="458"/>
      <c r="S860" s="458"/>
      <c r="T860" s="458"/>
      <c r="U860" s="458"/>
      <c r="V860" s="458"/>
      <c r="W860" s="458"/>
    </row>
    <row r="861" spans="1:23" ht="15.75" customHeight="1">
      <c r="A861" s="458"/>
      <c r="B861" s="458"/>
      <c r="C861" s="458"/>
      <c r="D861" s="458"/>
      <c r="E861" s="458"/>
      <c r="F861" s="458"/>
      <c r="G861" s="458"/>
      <c r="H861" s="458"/>
      <c r="I861" s="458"/>
      <c r="J861" s="458"/>
      <c r="K861" s="458"/>
      <c r="L861" s="458"/>
      <c r="M861" s="458"/>
      <c r="N861" s="458"/>
      <c r="O861" s="458"/>
      <c r="P861" s="458"/>
      <c r="Q861" s="458"/>
      <c r="R861" s="458"/>
      <c r="S861" s="458"/>
      <c r="T861" s="458"/>
      <c r="U861" s="458"/>
      <c r="V861" s="458"/>
      <c r="W861" s="458"/>
    </row>
    <row r="862" spans="1:23" ht="15.75" customHeight="1">
      <c r="A862" s="458"/>
      <c r="B862" s="458"/>
      <c r="C862" s="458"/>
      <c r="D862" s="458"/>
      <c r="E862" s="458"/>
      <c r="F862" s="458"/>
      <c r="G862" s="458"/>
      <c r="H862" s="458"/>
      <c r="I862" s="458"/>
      <c r="J862" s="458"/>
      <c r="K862" s="458"/>
      <c r="L862" s="458"/>
      <c r="M862" s="458"/>
      <c r="N862" s="458"/>
      <c r="O862" s="458"/>
      <c r="P862" s="458"/>
      <c r="Q862" s="458"/>
      <c r="R862" s="458"/>
      <c r="S862" s="458"/>
      <c r="T862" s="458"/>
      <c r="U862" s="458"/>
      <c r="V862" s="458"/>
      <c r="W862" s="458"/>
    </row>
    <row r="863" spans="1:23" ht="15.75" customHeight="1">
      <c r="A863" s="458"/>
      <c r="B863" s="458"/>
      <c r="C863" s="458"/>
      <c r="D863" s="458"/>
      <c r="E863" s="458"/>
      <c r="F863" s="458"/>
      <c r="G863" s="458"/>
      <c r="H863" s="458"/>
      <c r="I863" s="458"/>
      <c r="J863" s="458"/>
      <c r="K863" s="458"/>
      <c r="L863" s="458"/>
      <c r="M863" s="458"/>
      <c r="N863" s="458"/>
      <c r="O863" s="458"/>
      <c r="P863" s="458"/>
      <c r="Q863" s="458"/>
      <c r="R863" s="458"/>
      <c r="S863" s="458"/>
      <c r="T863" s="458"/>
      <c r="U863" s="458"/>
      <c r="V863" s="458"/>
      <c r="W863" s="458"/>
    </row>
    <row r="864" spans="1:23" ht="15.75" customHeight="1">
      <c r="A864" s="458"/>
      <c r="B864" s="458"/>
      <c r="C864" s="458"/>
      <c r="D864" s="458"/>
      <c r="E864" s="458"/>
      <c r="F864" s="458"/>
      <c r="G864" s="458"/>
      <c r="H864" s="458"/>
      <c r="I864" s="458"/>
      <c r="J864" s="458"/>
      <c r="K864" s="458"/>
      <c r="L864" s="458"/>
      <c r="M864" s="458"/>
      <c r="N864" s="458"/>
      <c r="O864" s="458"/>
      <c r="P864" s="458"/>
      <c r="Q864" s="458"/>
      <c r="R864" s="458"/>
      <c r="S864" s="458"/>
      <c r="T864" s="458"/>
      <c r="U864" s="458"/>
      <c r="V864" s="458"/>
      <c r="W864" s="458"/>
    </row>
    <row r="865" spans="1:23" ht="15.75" customHeight="1">
      <c r="A865" s="458"/>
      <c r="B865" s="458"/>
      <c r="C865" s="458"/>
      <c r="D865" s="458"/>
      <c r="E865" s="458"/>
      <c r="F865" s="458"/>
      <c r="G865" s="458"/>
      <c r="H865" s="458"/>
      <c r="I865" s="458"/>
      <c r="J865" s="458"/>
      <c r="K865" s="458"/>
      <c r="L865" s="458"/>
      <c r="M865" s="458"/>
      <c r="N865" s="458"/>
      <c r="O865" s="458"/>
      <c r="P865" s="458"/>
      <c r="Q865" s="458"/>
      <c r="R865" s="458"/>
      <c r="S865" s="458"/>
      <c r="T865" s="458"/>
      <c r="U865" s="458"/>
      <c r="V865" s="458"/>
      <c r="W865" s="458"/>
    </row>
    <row r="866" spans="1:23" ht="15.75" customHeight="1">
      <c r="A866" s="458"/>
      <c r="B866" s="458"/>
      <c r="C866" s="458"/>
      <c r="D866" s="458"/>
      <c r="E866" s="458"/>
      <c r="F866" s="458"/>
      <c r="G866" s="458"/>
      <c r="H866" s="458"/>
      <c r="I866" s="458"/>
      <c r="J866" s="458"/>
      <c r="K866" s="458"/>
      <c r="L866" s="458"/>
      <c r="M866" s="458"/>
      <c r="N866" s="458"/>
      <c r="O866" s="458"/>
      <c r="P866" s="458"/>
      <c r="Q866" s="458"/>
      <c r="R866" s="458"/>
      <c r="S866" s="458"/>
      <c r="T866" s="458"/>
      <c r="U866" s="458"/>
      <c r="V866" s="458"/>
      <c r="W866" s="458"/>
    </row>
    <row r="867" spans="1:23" ht="15.75" customHeight="1">
      <c r="A867" s="458"/>
      <c r="B867" s="458"/>
      <c r="C867" s="458"/>
      <c r="D867" s="458"/>
      <c r="E867" s="458"/>
      <c r="F867" s="458"/>
      <c r="G867" s="458"/>
      <c r="H867" s="458"/>
      <c r="I867" s="458"/>
      <c r="J867" s="458"/>
      <c r="K867" s="458"/>
      <c r="L867" s="458"/>
      <c r="M867" s="458"/>
      <c r="N867" s="458"/>
      <c r="O867" s="458"/>
      <c r="P867" s="458"/>
      <c r="Q867" s="458"/>
      <c r="R867" s="458"/>
      <c r="S867" s="458"/>
      <c r="T867" s="458"/>
      <c r="U867" s="458"/>
      <c r="V867" s="458"/>
      <c r="W867" s="458"/>
    </row>
    <row r="868" spans="1:23" ht="15.75" customHeight="1">
      <c r="A868" s="458"/>
      <c r="B868" s="458"/>
      <c r="C868" s="458"/>
      <c r="D868" s="458"/>
      <c r="E868" s="458"/>
      <c r="F868" s="458"/>
      <c r="G868" s="458"/>
      <c r="H868" s="458"/>
      <c r="I868" s="458"/>
      <c r="J868" s="458"/>
      <c r="K868" s="458"/>
      <c r="L868" s="458"/>
      <c r="M868" s="458"/>
      <c r="N868" s="458"/>
      <c r="O868" s="458"/>
      <c r="P868" s="458"/>
      <c r="Q868" s="458"/>
      <c r="R868" s="458"/>
      <c r="S868" s="458"/>
      <c r="T868" s="458"/>
      <c r="U868" s="458"/>
      <c r="V868" s="458"/>
      <c r="W868" s="458"/>
    </row>
    <row r="869" spans="1:23" ht="15.75" customHeight="1">
      <c r="A869" s="458"/>
      <c r="B869" s="458"/>
      <c r="C869" s="458"/>
      <c r="D869" s="458"/>
      <c r="E869" s="458"/>
      <c r="F869" s="458"/>
      <c r="G869" s="458"/>
      <c r="H869" s="458"/>
      <c r="I869" s="458"/>
      <c r="J869" s="458"/>
      <c r="K869" s="458"/>
      <c r="L869" s="458"/>
      <c r="M869" s="458"/>
      <c r="N869" s="458"/>
      <c r="O869" s="458"/>
      <c r="P869" s="458"/>
      <c r="Q869" s="458"/>
      <c r="R869" s="458"/>
      <c r="S869" s="458"/>
      <c r="T869" s="458"/>
      <c r="U869" s="458"/>
      <c r="V869" s="458"/>
      <c r="W869" s="458"/>
    </row>
    <row r="870" spans="1:23" ht="15.75" customHeight="1">
      <c r="A870" s="458"/>
      <c r="B870" s="458"/>
      <c r="C870" s="458"/>
      <c r="D870" s="458"/>
      <c r="E870" s="458"/>
      <c r="F870" s="458"/>
      <c r="G870" s="458"/>
      <c r="H870" s="458"/>
      <c r="I870" s="458"/>
      <c r="J870" s="458"/>
      <c r="K870" s="458"/>
      <c r="L870" s="458"/>
      <c r="M870" s="458"/>
      <c r="N870" s="458"/>
      <c r="O870" s="458"/>
      <c r="P870" s="458"/>
      <c r="Q870" s="458"/>
      <c r="R870" s="458"/>
      <c r="S870" s="458"/>
      <c r="T870" s="458"/>
      <c r="U870" s="458"/>
      <c r="V870" s="458"/>
      <c r="W870" s="458"/>
    </row>
    <row r="871" spans="1:23" ht="15.75" customHeight="1">
      <c r="A871" s="458"/>
      <c r="B871" s="458"/>
      <c r="C871" s="458"/>
      <c r="D871" s="458"/>
      <c r="E871" s="458"/>
      <c r="F871" s="458"/>
      <c r="G871" s="458"/>
      <c r="H871" s="458"/>
      <c r="I871" s="458"/>
      <c r="J871" s="458"/>
      <c r="K871" s="458"/>
      <c r="L871" s="458"/>
      <c r="M871" s="458"/>
      <c r="N871" s="458"/>
      <c r="O871" s="458"/>
      <c r="P871" s="458"/>
      <c r="Q871" s="458"/>
      <c r="R871" s="458"/>
      <c r="S871" s="458"/>
      <c r="T871" s="458"/>
      <c r="U871" s="458"/>
      <c r="V871" s="458"/>
      <c r="W871" s="458"/>
    </row>
    <row r="872" spans="1:23" ht="15.75" customHeight="1">
      <c r="A872" s="458"/>
      <c r="B872" s="458"/>
      <c r="C872" s="458"/>
      <c r="D872" s="458"/>
      <c r="E872" s="458"/>
      <c r="F872" s="458"/>
      <c r="G872" s="458"/>
      <c r="H872" s="458"/>
      <c r="I872" s="458"/>
      <c r="J872" s="458"/>
      <c r="K872" s="458"/>
      <c r="L872" s="458"/>
      <c r="M872" s="458"/>
      <c r="N872" s="458"/>
      <c r="O872" s="458"/>
      <c r="P872" s="458"/>
      <c r="Q872" s="458"/>
      <c r="R872" s="458"/>
      <c r="S872" s="458"/>
      <c r="T872" s="458"/>
      <c r="U872" s="458"/>
      <c r="V872" s="458"/>
      <c r="W872" s="458"/>
    </row>
    <row r="873" spans="1:23" ht="15.75" customHeight="1">
      <c r="A873" s="458"/>
      <c r="B873" s="458"/>
      <c r="C873" s="458"/>
      <c r="D873" s="458"/>
      <c r="E873" s="458"/>
      <c r="F873" s="458"/>
      <c r="G873" s="458"/>
      <c r="H873" s="458"/>
      <c r="I873" s="458"/>
      <c r="J873" s="458"/>
      <c r="K873" s="458"/>
      <c r="L873" s="458"/>
      <c r="M873" s="458"/>
      <c r="N873" s="458"/>
      <c r="O873" s="458"/>
      <c r="P873" s="458"/>
      <c r="Q873" s="458"/>
      <c r="R873" s="458"/>
      <c r="S873" s="458"/>
      <c r="T873" s="458"/>
      <c r="U873" s="458"/>
      <c r="V873" s="458"/>
      <c r="W873" s="458"/>
    </row>
    <row r="874" spans="1:23" ht="15.75" customHeight="1">
      <c r="A874" s="458"/>
      <c r="B874" s="458"/>
      <c r="C874" s="458"/>
      <c r="D874" s="458"/>
      <c r="E874" s="458"/>
      <c r="F874" s="458"/>
      <c r="G874" s="458"/>
      <c r="H874" s="458"/>
      <c r="I874" s="458"/>
      <c r="J874" s="458"/>
      <c r="K874" s="458"/>
      <c r="L874" s="458"/>
      <c r="M874" s="458"/>
      <c r="N874" s="458"/>
      <c r="O874" s="458"/>
      <c r="P874" s="458"/>
      <c r="Q874" s="458"/>
      <c r="R874" s="458"/>
      <c r="S874" s="458"/>
      <c r="T874" s="458"/>
      <c r="U874" s="458"/>
      <c r="V874" s="458"/>
      <c r="W874" s="458"/>
    </row>
    <row r="875" spans="1:23" ht="15.75" customHeight="1">
      <c r="A875" s="458"/>
      <c r="B875" s="458"/>
      <c r="C875" s="458"/>
      <c r="D875" s="458"/>
      <c r="E875" s="458"/>
      <c r="F875" s="458"/>
      <c r="G875" s="458"/>
      <c r="H875" s="458"/>
      <c r="I875" s="458"/>
      <c r="J875" s="458"/>
      <c r="K875" s="458"/>
      <c r="L875" s="458"/>
      <c r="M875" s="458"/>
      <c r="N875" s="458"/>
      <c r="O875" s="458"/>
      <c r="P875" s="458"/>
      <c r="Q875" s="458"/>
      <c r="R875" s="458"/>
      <c r="S875" s="458"/>
      <c r="T875" s="458"/>
      <c r="U875" s="458"/>
      <c r="V875" s="458"/>
      <c r="W875" s="458"/>
    </row>
    <row r="876" spans="1:23" ht="15.75" customHeight="1">
      <c r="A876" s="458"/>
      <c r="B876" s="458"/>
      <c r="C876" s="458"/>
      <c r="D876" s="458"/>
      <c r="E876" s="458"/>
      <c r="F876" s="458"/>
      <c r="G876" s="458"/>
      <c r="H876" s="458"/>
      <c r="I876" s="458"/>
      <c r="J876" s="458"/>
      <c r="K876" s="458"/>
      <c r="L876" s="458"/>
      <c r="M876" s="458"/>
      <c r="N876" s="458"/>
      <c r="O876" s="458"/>
      <c r="P876" s="458"/>
      <c r="Q876" s="458"/>
      <c r="R876" s="458"/>
      <c r="S876" s="458"/>
      <c r="T876" s="458"/>
      <c r="U876" s="458"/>
      <c r="V876" s="458"/>
      <c r="W876" s="458"/>
    </row>
    <row r="877" spans="1:23" ht="15.75" customHeight="1">
      <c r="A877" s="458"/>
      <c r="B877" s="458"/>
      <c r="C877" s="458"/>
      <c r="D877" s="458"/>
      <c r="E877" s="458"/>
      <c r="F877" s="458"/>
      <c r="G877" s="458"/>
      <c r="H877" s="458"/>
      <c r="I877" s="458"/>
      <c r="J877" s="458"/>
      <c r="K877" s="458"/>
      <c r="L877" s="458"/>
      <c r="M877" s="458"/>
      <c r="N877" s="458"/>
      <c r="O877" s="458"/>
      <c r="P877" s="458"/>
      <c r="Q877" s="458"/>
      <c r="R877" s="458"/>
      <c r="S877" s="458"/>
      <c r="T877" s="458"/>
      <c r="U877" s="458"/>
      <c r="V877" s="458"/>
      <c r="W877" s="458"/>
    </row>
    <row r="878" spans="1:23" ht="15.75" customHeight="1">
      <c r="A878" s="458"/>
      <c r="B878" s="458"/>
      <c r="C878" s="458"/>
      <c r="D878" s="458"/>
      <c r="E878" s="458"/>
      <c r="F878" s="458"/>
      <c r="G878" s="458"/>
      <c r="H878" s="458"/>
      <c r="I878" s="458"/>
      <c r="J878" s="458"/>
      <c r="K878" s="458"/>
      <c r="L878" s="458"/>
      <c r="M878" s="458"/>
      <c r="N878" s="458"/>
      <c r="O878" s="458"/>
      <c r="P878" s="458"/>
      <c r="Q878" s="458"/>
      <c r="R878" s="458"/>
      <c r="S878" s="458"/>
      <c r="T878" s="458"/>
      <c r="U878" s="458"/>
      <c r="V878" s="458"/>
      <c r="W878" s="458"/>
    </row>
    <row r="879" spans="1:23" ht="15.75" customHeight="1">
      <c r="A879" s="458"/>
      <c r="B879" s="458"/>
      <c r="C879" s="458"/>
      <c r="D879" s="458"/>
      <c r="E879" s="458"/>
      <c r="F879" s="458"/>
      <c r="G879" s="458"/>
      <c r="H879" s="458"/>
      <c r="I879" s="458"/>
      <c r="J879" s="458"/>
      <c r="K879" s="458"/>
      <c r="L879" s="458"/>
      <c r="M879" s="458"/>
      <c r="N879" s="458"/>
      <c r="O879" s="458"/>
      <c r="P879" s="458"/>
      <c r="Q879" s="458"/>
      <c r="R879" s="458"/>
      <c r="S879" s="458"/>
      <c r="T879" s="458"/>
      <c r="U879" s="458"/>
      <c r="V879" s="458"/>
      <c r="W879" s="458"/>
    </row>
    <row r="880" spans="1:23" ht="15.75" customHeight="1">
      <c r="A880" s="458"/>
      <c r="B880" s="458"/>
      <c r="C880" s="458"/>
      <c r="D880" s="458"/>
      <c r="E880" s="458"/>
      <c r="F880" s="458"/>
      <c r="G880" s="458"/>
      <c r="H880" s="458"/>
      <c r="I880" s="458"/>
      <c r="J880" s="458"/>
      <c r="K880" s="458"/>
      <c r="L880" s="458"/>
      <c r="M880" s="458"/>
      <c r="N880" s="458"/>
      <c r="O880" s="458"/>
      <c r="P880" s="458"/>
      <c r="Q880" s="458"/>
      <c r="R880" s="458"/>
      <c r="S880" s="458"/>
      <c r="T880" s="458"/>
      <c r="U880" s="458"/>
      <c r="V880" s="458"/>
      <c r="W880" s="458"/>
    </row>
    <row r="881" spans="1:23" ht="15.75" customHeight="1">
      <c r="A881" s="458"/>
      <c r="B881" s="458"/>
      <c r="C881" s="458"/>
      <c r="D881" s="458"/>
      <c r="E881" s="458"/>
      <c r="F881" s="458"/>
      <c r="G881" s="458"/>
      <c r="H881" s="458"/>
      <c r="I881" s="458"/>
      <c r="J881" s="458"/>
      <c r="K881" s="458"/>
      <c r="L881" s="458"/>
      <c r="M881" s="458"/>
      <c r="N881" s="458"/>
      <c r="O881" s="458"/>
      <c r="P881" s="458"/>
      <c r="Q881" s="458"/>
      <c r="R881" s="458"/>
      <c r="S881" s="458"/>
      <c r="T881" s="458"/>
      <c r="U881" s="458"/>
      <c r="V881" s="458"/>
      <c r="W881" s="458"/>
    </row>
    <row r="882" spans="1:23" ht="15.75" customHeight="1">
      <c r="A882" s="458"/>
      <c r="B882" s="458"/>
      <c r="C882" s="458"/>
      <c r="D882" s="458"/>
      <c r="E882" s="458"/>
      <c r="F882" s="458"/>
      <c r="G882" s="458"/>
      <c r="H882" s="458"/>
      <c r="I882" s="458"/>
      <c r="J882" s="458"/>
      <c r="K882" s="458"/>
      <c r="L882" s="458"/>
      <c r="M882" s="458"/>
      <c r="N882" s="458"/>
      <c r="O882" s="458"/>
      <c r="P882" s="458"/>
      <c r="Q882" s="458"/>
      <c r="R882" s="458"/>
      <c r="S882" s="458"/>
      <c r="T882" s="458"/>
      <c r="U882" s="458"/>
      <c r="V882" s="458"/>
      <c r="W882" s="458"/>
    </row>
    <row r="883" spans="1:23" ht="15.75" customHeight="1">
      <c r="A883" s="458"/>
      <c r="B883" s="458"/>
      <c r="C883" s="458"/>
      <c r="D883" s="458"/>
      <c r="E883" s="458"/>
      <c r="F883" s="458"/>
      <c r="G883" s="458"/>
      <c r="H883" s="458"/>
      <c r="I883" s="458"/>
      <c r="J883" s="458"/>
      <c r="K883" s="458"/>
      <c r="L883" s="458"/>
      <c r="M883" s="458"/>
      <c r="N883" s="458"/>
      <c r="O883" s="458"/>
      <c r="P883" s="458"/>
      <c r="Q883" s="458"/>
      <c r="R883" s="458"/>
      <c r="S883" s="458"/>
      <c r="T883" s="458"/>
      <c r="U883" s="458"/>
      <c r="V883" s="458"/>
      <c r="W883" s="458"/>
    </row>
    <row r="884" spans="1:23" ht="15.75" customHeight="1">
      <c r="A884" s="458"/>
      <c r="B884" s="458"/>
      <c r="C884" s="458"/>
      <c r="D884" s="458"/>
      <c r="E884" s="458"/>
      <c r="F884" s="458"/>
      <c r="G884" s="458"/>
      <c r="H884" s="458"/>
      <c r="I884" s="458"/>
      <c r="J884" s="458"/>
      <c r="K884" s="458"/>
      <c r="L884" s="458"/>
      <c r="M884" s="458"/>
      <c r="N884" s="458"/>
      <c r="O884" s="458"/>
      <c r="P884" s="458"/>
      <c r="Q884" s="458"/>
      <c r="R884" s="458"/>
      <c r="S884" s="458"/>
      <c r="T884" s="458"/>
      <c r="U884" s="458"/>
      <c r="V884" s="458"/>
      <c r="W884" s="458"/>
    </row>
    <row r="885" spans="1:23" ht="15.75" customHeight="1">
      <c r="A885" s="458"/>
      <c r="B885" s="458"/>
      <c r="C885" s="458"/>
      <c r="D885" s="458"/>
      <c r="E885" s="458"/>
      <c r="F885" s="458"/>
      <c r="G885" s="458"/>
      <c r="H885" s="458"/>
      <c r="I885" s="458"/>
      <c r="J885" s="458"/>
      <c r="K885" s="458"/>
      <c r="L885" s="458"/>
      <c r="M885" s="458"/>
      <c r="N885" s="458"/>
      <c r="O885" s="458"/>
      <c r="P885" s="458"/>
      <c r="Q885" s="458"/>
      <c r="R885" s="458"/>
      <c r="S885" s="458"/>
      <c r="T885" s="458"/>
      <c r="U885" s="458"/>
      <c r="V885" s="458"/>
      <c r="W885" s="458"/>
    </row>
    <row r="886" spans="1:23" ht="15.75" customHeight="1">
      <c r="A886" s="458"/>
      <c r="B886" s="458"/>
      <c r="C886" s="458"/>
      <c r="D886" s="458"/>
      <c r="E886" s="458"/>
      <c r="F886" s="458"/>
      <c r="G886" s="458"/>
      <c r="H886" s="458"/>
      <c r="I886" s="458"/>
      <c r="J886" s="458"/>
      <c r="K886" s="458"/>
      <c r="L886" s="458"/>
      <c r="M886" s="458"/>
      <c r="N886" s="458"/>
      <c r="O886" s="458"/>
      <c r="P886" s="458"/>
      <c r="Q886" s="458"/>
      <c r="R886" s="458"/>
      <c r="S886" s="458"/>
      <c r="T886" s="458"/>
      <c r="U886" s="458"/>
      <c r="V886" s="458"/>
      <c r="W886" s="458"/>
    </row>
    <row r="887" spans="1:23" ht="15.75" customHeight="1">
      <c r="A887" s="458"/>
      <c r="B887" s="458"/>
      <c r="C887" s="458"/>
      <c r="D887" s="458"/>
      <c r="E887" s="458"/>
      <c r="F887" s="458"/>
      <c r="G887" s="458"/>
      <c r="H887" s="458"/>
      <c r="I887" s="458"/>
      <c r="J887" s="458"/>
      <c r="K887" s="458"/>
      <c r="L887" s="458"/>
      <c r="M887" s="458"/>
      <c r="N887" s="458"/>
      <c r="O887" s="458"/>
      <c r="P887" s="458"/>
      <c r="Q887" s="458"/>
      <c r="R887" s="458"/>
      <c r="S887" s="458"/>
      <c r="T887" s="458"/>
      <c r="U887" s="458"/>
      <c r="V887" s="458"/>
      <c r="W887" s="458"/>
    </row>
    <row r="888" spans="1:23" ht="15.75" customHeight="1">
      <c r="A888" s="458"/>
      <c r="B888" s="458"/>
      <c r="C888" s="458"/>
      <c r="D888" s="458"/>
      <c r="E888" s="458"/>
      <c r="F888" s="458"/>
      <c r="G888" s="458"/>
      <c r="H888" s="458"/>
      <c r="I888" s="458"/>
      <c r="J888" s="458"/>
      <c r="K888" s="458"/>
      <c r="L888" s="458"/>
      <c r="M888" s="458"/>
      <c r="N888" s="458"/>
      <c r="O888" s="458"/>
      <c r="P888" s="458"/>
      <c r="Q888" s="458"/>
      <c r="R888" s="458"/>
      <c r="S888" s="458"/>
      <c r="T888" s="458"/>
      <c r="U888" s="458"/>
      <c r="V888" s="458"/>
      <c r="W888" s="458"/>
    </row>
    <row r="889" spans="1:23" ht="15.75" customHeight="1">
      <c r="A889" s="458"/>
      <c r="B889" s="458"/>
      <c r="C889" s="458"/>
      <c r="D889" s="458"/>
      <c r="E889" s="458"/>
      <c r="F889" s="458"/>
      <c r="G889" s="458"/>
      <c r="H889" s="458"/>
      <c r="I889" s="458"/>
      <c r="J889" s="458"/>
      <c r="K889" s="458"/>
      <c r="L889" s="458"/>
      <c r="M889" s="458"/>
      <c r="N889" s="458"/>
      <c r="O889" s="458"/>
      <c r="P889" s="458"/>
      <c r="Q889" s="458"/>
      <c r="R889" s="458"/>
      <c r="S889" s="458"/>
      <c r="T889" s="458"/>
      <c r="U889" s="458"/>
      <c r="V889" s="458"/>
      <c r="W889" s="458"/>
    </row>
    <row r="890" spans="1:23" ht="15.75" customHeight="1">
      <c r="A890" s="458"/>
      <c r="B890" s="458"/>
      <c r="C890" s="458"/>
      <c r="D890" s="458"/>
      <c r="E890" s="458"/>
      <c r="F890" s="458"/>
      <c r="G890" s="458"/>
      <c r="H890" s="458"/>
      <c r="I890" s="458"/>
      <c r="J890" s="458"/>
      <c r="K890" s="458"/>
      <c r="L890" s="458"/>
      <c r="M890" s="458"/>
      <c r="N890" s="458"/>
      <c r="O890" s="458"/>
      <c r="P890" s="458"/>
      <c r="Q890" s="458"/>
      <c r="R890" s="458"/>
      <c r="S890" s="458"/>
      <c r="T890" s="458"/>
      <c r="U890" s="458"/>
      <c r="V890" s="458"/>
      <c r="W890" s="458"/>
    </row>
    <row r="891" spans="1:23" ht="15.75" customHeight="1">
      <c r="A891" s="458"/>
      <c r="B891" s="458"/>
      <c r="C891" s="458"/>
      <c r="D891" s="458"/>
      <c r="E891" s="458"/>
      <c r="F891" s="458"/>
      <c r="G891" s="458"/>
      <c r="H891" s="458"/>
      <c r="I891" s="458"/>
      <c r="J891" s="458"/>
      <c r="K891" s="458"/>
      <c r="L891" s="458"/>
      <c r="M891" s="458"/>
      <c r="N891" s="458"/>
      <c r="O891" s="458"/>
      <c r="P891" s="458"/>
      <c r="Q891" s="458"/>
      <c r="R891" s="458"/>
      <c r="S891" s="458"/>
      <c r="T891" s="458"/>
      <c r="U891" s="458"/>
      <c r="V891" s="458"/>
      <c r="W891" s="458"/>
    </row>
    <row r="892" spans="1:23" ht="15.75" customHeight="1">
      <c r="A892" s="458"/>
      <c r="B892" s="458"/>
      <c r="C892" s="458"/>
      <c r="D892" s="458"/>
      <c r="E892" s="458"/>
      <c r="F892" s="458"/>
      <c r="G892" s="458"/>
      <c r="H892" s="458"/>
      <c r="I892" s="458"/>
      <c r="J892" s="458"/>
      <c r="K892" s="458"/>
      <c r="L892" s="458"/>
      <c r="M892" s="458"/>
      <c r="N892" s="458"/>
      <c r="O892" s="458"/>
      <c r="P892" s="458"/>
      <c r="Q892" s="458"/>
      <c r="R892" s="458"/>
      <c r="S892" s="458"/>
      <c r="T892" s="458"/>
      <c r="U892" s="458"/>
      <c r="V892" s="458"/>
      <c r="W892" s="458"/>
    </row>
    <row r="893" spans="1:23" ht="15.75" customHeight="1">
      <c r="A893" s="458"/>
      <c r="B893" s="458"/>
      <c r="C893" s="458"/>
      <c r="D893" s="458"/>
      <c r="E893" s="458"/>
      <c r="F893" s="458"/>
      <c r="G893" s="458"/>
      <c r="H893" s="458"/>
      <c r="I893" s="458"/>
      <c r="J893" s="458"/>
      <c r="K893" s="458"/>
      <c r="L893" s="458"/>
      <c r="M893" s="458"/>
      <c r="N893" s="458"/>
      <c r="O893" s="458"/>
      <c r="P893" s="458"/>
      <c r="Q893" s="458"/>
      <c r="R893" s="458"/>
      <c r="S893" s="458"/>
      <c r="T893" s="458"/>
      <c r="U893" s="458"/>
      <c r="V893" s="458"/>
      <c r="W893" s="458"/>
    </row>
    <row r="894" spans="1:23" ht="15.75" customHeight="1">
      <c r="A894" s="458"/>
      <c r="B894" s="458"/>
      <c r="C894" s="458"/>
      <c r="D894" s="458"/>
      <c r="E894" s="458"/>
      <c r="F894" s="458"/>
      <c r="G894" s="458"/>
      <c r="H894" s="458"/>
      <c r="I894" s="458"/>
      <c r="J894" s="458"/>
      <c r="K894" s="458"/>
      <c r="L894" s="458"/>
      <c r="M894" s="458"/>
      <c r="N894" s="458"/>
      <c r="O894" s="458"/>
      <c r="P894" s="458"/>
      <c r="Q894" s="458"/>
      <c r="R894" s="458"/>
      <c r="S894" s="458"/>
      <c r="T894" s="458"/>
      <c r="U894" s="458"/>
      <c r="V894" s="458"/>
      <c r="W894" s="458"/>
    </row>
    <row r="895" spans="1:23" ht="15.75" customHeight="1">
      <c r="A895" s="458"/>
      <c r="B895" s="458"/>
      <c r="C895" s="458"/>
      <c r="D895" s="458"/>
      <c r="E895" s="458"/>
      <c r="F895" s="458"/>
      <c r="G895" s="458"/>
      <c r="H895" s="458"/>
      <c r="I895" s="458"/>
      <c r="J895" s="458"/>
      <c r="K895" s="458"/>
      <c r="L895" s="458"/>
      <c r="M895" s="458"/>
      <c r="N895" s="458"/>
      <c r="O895" s="458"/>
      <c r="P895" s="458"/>
      <c r="Q895" s="458"/>
      <c r="R895" s="458"/>
      <c r="S895" s="458"/>
      <c r="T895" s="458"/>
      <c r="U895" s="458"/>
      <c r="V895" s="458"/>
      <c r="W895" s="458"/>
    </row>
    <row r="896" spans="1:23" ht="15.75" customHeight="1">
      <c r="A896" s="458"/>
      <c r="B896" s="458"/>
      <c r="C896" s="458"/>
      <c r="D896" s="458"/>
      <c r="E896" s="458"/>
      <c r="F896" s="458"/>
      <c r="G896" s="458"/>
      <c r="H896" s="458"/>
      <c r="I896" s="458"/>
      <c r="J896" s="458"/>
      <c r="K896" s="458"/>
      <c r="L896" s="458"/>
      <c r="M896" s="458"/>
      <c r="N896" s="458"/>
      <c r="O896" s="458"/>
      <c r="P896" s="458"/>
      <c r="Q896" s="458"/>
      <c r="R896" s="458"/>
      <c r="S896" s="458"/>
      <c r="T896" s="458"/>
      <c r="U896" s="458"/>
      <c r="V896" s="458"/>
      <c r="W896" s="458"/>
    </row>
    <row r="897" spans="1:23" ht="15.75" customHeight="1">
      <c r="A897" s="458"/>
      <c r="B897" s="458"/>
      <c r="C897" s="458"/>
      <c r="D897" s="458"/>
      <c r="E897" s="458"/>
      <c r="F897" s="458"/>
      <c r="G897" s="458"/>
      <c r="H897" s="458"/>
      <c r="I897" s="458"/>
      <c r="J897" s="458"/>
      <c r="K897" s="458"/>
      <c r="L897" s="458"/>
      <c r="M897" s="458"/>
      <c r="N897" s="458"/>
      <c r="O897" s="458"/>
      <c r="P897" s="458"/>
      <c r="Q897" s="458"/>
      <c r="R897" s="458"/>
      <c r="S897" s="458"/>
      <c r="T897" s="458"/>
      <c r="U897" s="458"/>
      <c r="V897" s="458"/>
      <c r="W897" s="458"/>
    </row>
    <row r="898" spans="1:23" ht="15.75" customHeight="1">
      <c r="A898" s="458"/>
      <c r="B898" s="458"/>
      <c r="C898" s="458"/>
      <c r="D898" s="458"/>
      <c r="E898" s="458"/>
      <c r="F898" s="458"/>
      <c r="G898" s="458"/>
      <c r="H898" s="458"/>
      <c r="I898" s="458"/>
      <c r="J898" s="458"/>
      <c r="K898" s="458"/>
      <c r="L898" s="458"/>
      <c r="M898" s="458"/>
      <c r="N898" s="458"/>
      <c r="O898" s="458"/>
      <c r="P898" s="458"/>
      <c r="Q898" s="458"/>
      <c r="R898" s="458"/>
      <c r="S898" s="458"/>
      <c r="T898" s="458"/>
      <c r="U898" s="458"/>
      <c r="V898" s="458"/>
      <c r="W898" s="458"/>
    </row>
    <row r="899" spans="1:23" ht="15.75" customHeight="1">
      <c r="A899" s="458"/>
      <c r="B899" s="458"/>
      <c r="C899" s="458"/>
      <c r="D899" s="458"/>
      <c r="E899" s="458"/>
      <c r="F899" s="458"/>
      <c r="G899" s="458"/>
      <c r="H899" s="458"/>
      <c r="I899" s="458"/>
      <c r="J899" s="458"/>
      <c r="K899" s="458"/>
      <c r="L899" s="458"/>
      <c r="M899" s="458"/>
      <c r="N899" s="458"/>
      <c r="O899" s="458"/>
      <c r="P899" s="458"/>
      <c r="Q899" s="458"/>
      <c r="R899" s="458"/>
      <c r="S899" s="458"/>
      <c r="T899" s="458"/>
      <c r="U899" s="458"/>
      <c r="V899" s="458"/>
      <c r="W899" s="458"/>
    </row>
    <row r="900" spans="1:23" ht="15.75" customHeight="1">
      <c r="A900" s="458"/>
      <c r="B900" s="458"/>
      <c r="C900" s="458"/>
      <c r="D900" s="458"/>
      <c r="E900" s="458"/>
      <c r="F900" s="458"/>
      <c r="G900" s="458"/>
      <c r="H900" s="458"/>
      <c r="I900" s="458"/>
      <c r="J900" s="458"/>
      <c r="K900" s="458"/>
      <c r="L900" s="458"/>
      <c r="M900" s="458"/>
      <c r="N900" s="458"/>
      <c r="O900" s="458"/>
      <c r="P900" s="458"/>
      <c r="Q900" s="458"/>
      <c r="R900" s="458"/>
      <c r="S900" s="458"/>
      <c r="T900" s="458"/>
      <c r="U900" s="458"/>
      <c r="V900" s="458"/>
      <c r="W900" s="458"/>
    </row>
    <row r="901" spans="1:23" ht="15.75" customHeight="1">
      <c r="A901" s="458"/>
      <c r="B901" s="458"/>
      <c r="C901" s="458"/>
      <c r="D901" s="458"/>
      <c r="E901" s="458"/>
      <c r="F901" s="458"/>
      <c r="G901" s="458"/>
      <c r="H901" s="458"/>
      <c r="I901" s="458"/>
      <c r="J901" s="458"/>
      <c r="K901" s="458"/>
      <c r="L901" s="458"/>
      <c r="M901" s="458"/>
      <c r="N901" s="458"/>
      <c r="O901" s="458"/>
      <c r="P901" s="458"/>
      <c r="Q901" s="458"/>
      <c r="R901" s="458"/>
      <c r="S901" s="458"/>
      <c r="T901" s="458"/>
      <c r="U901" s="458"/>
      <c r="V901" s="458"/>
      <c r="W901" s="458"/>
    </row>
    <row r="902" spans="1:23" ht="15.75" customHeight="1">
      <c r="A902" s="458"/>
      <c r="B902" s="458"/>
      <c r="C902" s="458"/>
      <c r="D902" s="458"/>
      <c r="E902" s="458"/>
      <c r="F902" s="458"/>
      <c r="G902" s="458"/>
      <c r="H902" s="458"/>
      <c r="I902" s="458"/>
      <c r="J902" s="458"/>
      <c r="K902" s="458"/>
      <c r="L902" s="458"/>
      <c r="M902" s="458"/>
      <c r="N902" s="458"/>
      <c r="O902" s="458"/>
      <c r="P902" s="458"/>
      <c r="Q902" s="458"/>
      <c r="R902" s="458"/>
      <c r="S902" s="458"/>
      <c r="T902" s="458"/>
      <c r="U902" s="458"/>
      <c r="V902" s="458"/>
      <c r="W902" s="458"/>
    </row>
    <row r="903" spans="1:23" ht="15.75" customHeight="1">
      <c r="A903" s="458"/>
      <c r="B903" s="458"/>
      <c r="C903" s="458"/>
      <c r="D903" s="458"/>
      <c r="E903" s="458"/>
      <c r="F903" s="458"/>
      <c r="G903" s="458"/>
      <c r="H903" s="458"/>
      <c r="I903" s="458"/>
      <c r="J903" s="458"/>
      <c r="K903" s="458"/>
      <c r="L903" s="458"/>
      <c r="M903" s="458"/>
      <c r="N903" s="458"/>
      <c r="O903" s="458"/>
      <c r="P903" s="458"/>
      <c r="Q903" s="458"/>
      <c r="R903" s="458"/>
      <c r="S903" s="458"/>
      <c r="T903" s="458"/>
      <c r="U903" s="458"/>
      <c r="V903" s="458"/>
      <c r="W903" s="458"/>
    </row>
    <row r="904" spans="1:23" ht="15.75" customHeight="1">
      <c r="A904" s="458"/>
      <c r="B904" s="458"/>
      <c r="C904" s="458"/>
      <c r="D904" s="458"/>
      <c r="E904" s="458"/>
      <c r="F904" s="458"/>
      <c r="G904" s="458"/>
      <c r="H904" s="458"/>
      <c r="I904" s="458"/>
      <c r="J904" s="458"/>
      <c r="K904" s="458"/>
      <c r="L904" s="458"/>
      <c r="M904" s="458"/>
      <c r="N904" s="458"/>
      <c r="O904" s="458"/>
      <c r="P904" s="458"/>
      <c r="Q904" s="458"/>
      <c r="R904" s="458"/>
      <c r="S904" s="458"/>
      <c r="T904" s="458"/>
      <c r="U904" s="458"/>
      <c r="V904" s="458"/>
      <c r="W904" s="458"/>
    </row>
    <row r="905" spans="1:23" ht="15.75" customHeight="1">
      <c r="A905" s="458"/>
      <c r="B905" s="458"/>
      <c r="C905" s="458"/>
      <c r="D905" s="458"/>
      <c r="E905" s="458"/>
      <c r="F905" s="458"/>
      <c r="G905" s="458"/>
      <c r="H905" s="458"/>
      <c r="I905" s="458"/>
      <c r="J905" s="458"/>
      <c r="K905" s="458"/>
      <c r="L905" s="458"/>
      <c r="M905" s="458"/>
      <c r="N905" s="458"/>
      <c r="O905" s="458"/>
      <c r="P905" s="458"/>
      <c r="Q905" s="458"/>
      <c r="R905" s="458"/>
      <c r="S905" s="458"/>
      <c r="T905" s="458"/>
      <c r="U905" s="458"/>
      <c r="V905" s="458"/>
      <c r="W905" s="458"/>
    </row>
    <row r="906" spans="1:23" ht="15.75" customHeight="1">
      <c r="A906" s="458"/>
      <c r="B906" s="458"/>
      <c r="C906" s="458"/>
      <c r="D906" s="458"/>
      <c r="E906" s="458"/>
      <c r="F906" s="458"/>
      <c r="G906" s="458"/>
      <c r="H906" s="458"/>
      <c r="I906" s="458"/>
      <c r="J906" s="458"/>
      <c r="K906" s="458"/>
      <c r="L906" s="458"/>
      <c r="M906" s="458"/>
      <c r="N906" s="458"/>
      <c r="O906" s="458"/>
      <c r="P906" s="458"/>
      <c r="Q906" s="458"/>
      <c r="R906" s="458"/>
      <c r="S906" s="458"/>
      <c r="T906" s="458"/>
      <c r="U906" s="458"/>
      <c r="V906" s="458"/>
      <c r="W906" s="458"/>
    </row>
    <row r="907" spans="1:23" ht="15.75" customHeight="1">
      <c r="A907" s="458"/>
      <c r="B907" s="458"/>
      <c r="C907" s="458"/>
      <c r="D907" s="458"/>
      <c r="E907" s="458"/>
      <c r="F907" s="458"/>
      <c r="G907" s="458"/>
      <c r="H907" s="458"/>
      <c r="I907" s="458"/>
      <c r="J907" s="458"/>
      <c r="K907" s="458"/>
      <c r="L907" s="458"/>
      <c r="M907" s="458"/>
      <c r="N907" s="458"/>
      <c r="O907" s="458"/>
      <c r="P907" s="458"/>
      <c r="Q907" s="458"/>
      <c r="R907" s="458"/>
      <c r="S907" s="458"/>
      <c r="T907" s="458"/>
      <c r="U907" s="458"/>
      <c r="V907" s="458"/>
      <c r="W907" s="458"/>
    </row>
    <row r="908" spans="1:23" ht="15.75" customHeight="1">
      <c r="A908" s="458"/>
      <c r="B908" s="458"/>
      <c r="C908" s="458"/>
      <c r="D908" s="458"/>
      <c r="E908" s="458"/>
      <c r="F908" s="458"/>
      <c r="G908" s="458"/>
      <c r="H908" s="458"/>
      <c r="I908" s="458"/>
      <c r="J908" s="458"/>
      <c r="K908" s="458"/>
      <c r="L908" s="458"/>
      <c r="M908" s="458"/>
      <c r="N908" s="458"/>
      <c r="O908" s="458"/>
      <c r="P908" s="458"/>
      <c r="Q908" s="458"/>
      <c r="R908" s="458"/>
      <c r="S908" s="458"/>
      <c r="T908" s="458"/>
      <c r="U908" s="458"/>
      <c r="V908" s="458"/>
      <c r="W908" s="458"/>
    </row>
    <row r="909" spans="1:23" ht="15.75" customHeight="1">
      <c r="A909" s="458"/>
      <c r="B909" s="458"/>
      <c r="C909" s="458"/>
      <c r="D909" s="458"/>
      <c r="E909" s="458"/>
      <c r="F909" s="458"/>
      <c r="G909" s="458"/>
      <c r="H909" s="458"/>
      <c r="I909" s="458"/>
      <c r="J909" s="458"/>
      <c r="K909" s="458"/>
      <c r="L909" s="458"/>
      <c r="M909" s="458"/>
      <c r="N909" s="458"/>
      <c r="O909" s="458"/>
      <c r="P909" s="458"/>
      <c r="Q909" s="458"/>
      <c r="R909" s="458"/>
      <c r="S909" s="458"/>
      <c r="T909" s="458"/>
      <c r="U909" s="458"/>
      <c r="V909" s="458"/>
      <c r="W909" s="458"/>
    </row>
    <row r="910" spans="1:23" ht="15.75" customHeight="1">
      <c r="A910" s="458"/>
      <c r="B910" s="458"/>
      <c r="C910" s="458"/>
      <c r="D910" s="458"/>
      <c r="E910" s="458"/>
      <c r="F910" s="458"/>
      <c r="G910" s="458"/>
      <c r="H910" s="458"/>
      <c r="I910" s="458"/>
      <c r="J910" s="458"/>
      <c r="K910" s="458"/>
      <c r="L910" s="458"/>
      <c r="M910" s="458"/>
      <c r="N910" s="458"/>
      <c r="O910" s="458"/>
      <c r="P910" s="458"/>
      <c r="Q910" s="458"/>
      <c r="R910" s="458"/>
      <c r="S910" s="458"/>
      <c r="T910" s="458"/>
      <c r="U910" s="458"/>
      <c r="V910" s="458"/>
      <c r="W910" s="458"/>
    </row>
    <row r="911" spans="1:23" ht="15.75" customHeight="1">
      <c r="A911" s="458"/>
      <c r="B911" s="458"/>
      <c r="C911" s="458"/>
      <c r="D911" s="458"/>
      <c r="E911" s="458"/>
      <c r="F911" s="458"/>
      <c r="G911" s="458"/>
      <c r="H911" s="458"/>
      <c r="I911" s="458"/>
      <c r="J911" s="458"/>
      <c r="K911" s="458"/>
      <c r="L911" s="458"/>
      <c r="M911" s="458"/>
      <c r="N911" s="458"/>
      <c r="O911" s="458"/>
      <c r="P911" s="458"/>
      <c r="Q911" s="458"/>
      <c r="R911" s="458"/>
      <c r="S911" s="458"/>
      <c r="T911" s="458"/>
      <c r="U911" s="458"/>
      <c r="V911" s="458"/>
      <c r="W911" s="458"/>
    </row>
    <row r="912" spans="1:23" ht="15.75" customHeight="1">
      <c r="A912" s="458"/>
      <c r="B912" s="458"/>
      <c r="C912" s="458"/>
      <c r="D912" s="458"/>
      <c r="E912" s="458"/>
      <c r="F912" s="458"/>
      <c r="G912" s="458"/>
      <c r="H912" s="458"/>
      <c r="I912" s="458"/>
      <c r="J912" s="458"/>
      <c r="K912" s="458"/>
      <c r="L912" s="458"/>
      <c r="M912" s="458"/>
      <c r="N912" s="458"/>
      <c r="O912" s="458"/>
      <c r="P912" s="458"/>
      <c r="Q912" s="458"/>
      <c r="R912" s="458"/>
      <c r="S912" s="458"/>
      <c r="T912" s="458"/>
      <c r="U912" s="458"/>
      <c r="V912" s="458"/>
      <c r="W912" s="458"/>
    </row>
    <row r="913" spans="1:23" ht="15.75" customHeight="1">
      <c r="A913" s="458"/>
      <c r="B913" s="458"/>
      <c r="C913" s="458"/>
      <c r="D913" s="458"/>
      <c r="E913" s="458"/>
      <c r="F913" s="458"/>
      <c r="G913" s="458"/>
      <c r="H913" s="458"/>
      <c r="I913" s="458"/>
      <c r="J913" s="458"/>
      <c r="K913" s="458"/>
      <c r="L913" s="458"/>
      <c r="M913" s="458"/>
      <c r="N913" s="458"/>
      <c r="O913" s="458"/>
      <c r="P913" s="458"/>
      <c r="Q913" s="458"/>
      <c r="R913" s="458"/>
      <c r="S913" s="458"/>
      <c r="T913" s="458"/>
      <c r="U913" s="458"/>
      <c r="V913" s="458"/>
      <c r="W913" s="458"/>
    </row>
    <row r="914" spans="1:23" ht="15.75" customHeight="1">
      <c r="A914" s="458"/>
      <c r="B914" s="458"/>
      <c r="C914" s="458"/>
      <c r="D914" s="458"/>
      <c r="E914" s="458"/>
      <c r="F914" s="458"/>
      <c r="G914" s="458"/>
      <c r="H914" s="458"/>
      <c r="I914" s="458"/>
      <c r="J914" s="458"/>
      <c r="K914" s="458"/>
      <c r="L914" s="458"/>
      <c r="M914" s="458"/>
      <c r="N914" s="458"/>
      <c r="O914" s="458"/>
      <c r="P914" s="458"/>
      <c r="Q914" s="458"/>
      <c r="R914" s="458"/>
      <c r="S914" s="458"/>
      <c r="T914" s="458"/>
      <c r="U914" s="458"/>
      <c r="V914" s="458"/>
      <c r="W914" s="458"/>
    </row>
    <row r="915" spans="1:23" ht="15.75" customHeight="1">
      <c r="A915" s="458"/>
      <c r="B915" s="458"/>
      <c r="C915" s="458"/>
      <c r="D915" s="458"/>
      <c r="E915" s="458"/>
      <c r="F915" s="458"/>
      <c r="G915" s="458"/>
      <c r="H915" s="458"/>
      <c r="I915" s="458"/>
      <c r="J915" s="458"/>
      <c r="K915" s="458"/>
      <c r="L915" s="458"/>
      <c r="M915" s="458"/>
      <c r="N915" s="458"/>
      <c r="O915" s="458"/>
      <c r="P915" s="458"/>
      <c r="Q915" s="458"/>
      <c r="R915" s="458"/>
      <c r="S915" s="458"/>
      <c r="T915" s="458"/>
      <c r="U915" s="458"/>
      <c r="V915" s="458"/>
      <c r="W915" s="458"/>
    </row>
    <row r="916" spans="1:23" ht="15.75" customHeight="1">
      <c r="A916" s="458"/>
      <c r="B916" s="458"/>
      <c r="C916" s="458"/>
      <c r="D916" s="458"/>
      <c r="E916" s="458"/>
      <c r="F916" s="458"/>
      <c r="G916" s="458"/>
      <c r="H916" s="458"/>
      <c r="I916" s="458"/>
      <c r="J916" s="458"/>
      <c r="K916" s="458"/>
      <c r="L916" s="458"/>
      <c r="M916" s="458"/>
      <c r="N916" s="458"/>
      <c r="O916" s="458"/>
      <c r="P916" s="458"/>
      <c r="Q916" s="458"/>
      <c r="R916" s="458"/>
      <c r="S916" s="458"/>
      <c r="T916" s="458"/>
      <c r="U916" s="458"/>
      <c r="V916" s="458"/>
      <c r="W916" s="458"/>
    </row>
    <row r="917" spans="1:23" ht="15.75" customHeight="1">
      <c r="A917" s="458"/>
      <c r="B917" s="458"/>
      <c r="C917" s="458"/>
      <c r="D917" s="458"/>
      <c r="E917" s="458"/>
      <c r="F917" s="458"/>
      <c r="G917" s="458"/>
      <c r="H917" s="458"/>
      <c r="I917" s="458"/>
      <c r="J917" s="458"/>
      <c r="K917" s="458"/>
      <c r="L917" s="458"/>
      <c r="M917" s="458"/>
      <c r="N917" s="458"/>
      <c r="O917" s="458"/>
      <c r="P917" s="458"/>
      <c r="Q917" s="458"/>
      <c r="R917" s="458"/>
      <c r="S917" s="458"/>
      <c r="T917" s="458"/>
      <c r="U917" s="458"/>
      <c r="V917" s="458"/>
      <c r="W917" s="458"/>
    </row>
    <row r="918" spans="1:23" ht="15.75" customHeight="1">
      <c r="A918" s="458"/>
      <c r="B918" s="458"/>
      <c r="C918" s="458"/>
      <c r="D918" s="458"/>
      <c r="E918" s="458"/>
      <c r="F918" s="458"/>
      <c r="G918" s="458"/>
      <c r="H918" s="458"/>
      <c r="I918" s="458"/>
      <c r="J918" s="458"/>
      <c r="K918" s="458"/>
      <c r="L918" s="458"/>
      <c r="M918" s="458"/>
      <c r="N918" s="458"/>
      <c r="O918" s="458"/>
      <c r="P918" s="458"/>
      <c r="Q918" s="458"/>
      <c r="R918" s="458"/>
      <c r="S918" s="458"/>
      <c r="T918" s="458"/>
      <c r="U918" s="458"/>
      <c r="V918" s="458"/>
      <c r="W918" s="458"/>
    </row>
    <row r="919" spans="1:23" ht="15.75" customHeight="1">
      <c r="A919" s="458"/>
      <c r="B919" s="458"/>
      <c r="C919" s="458"/>
      <c r="D919" s="458"/>
      <c r="E919" s="458"/>
      <c r="F919" s="458"/>
      <c r="G919" s="458"/>
      <c r="H919" s="458"/>
      <c r="I919" s="458"/>
      <c r="J919" s="458"/>
      <c r="K919" s="458"/>
      <c r="L919" s="458"/>
      <c r="M919" s="458"/>
      <c r="N919" s="458"/>
      <c r="O919" s="458"/>
      <c r="P919" s="458"/>
      <c r="Q919" s="458"/>
      <c r="R919" s="458"/>
      <c r="S919" s="458"/>
      <c r="T919" s="458"/>
      <c r="U919" s="458"/>
      <c r="V919" s="458"/>
      <c r="W919" s="458"/>
    </row>
    <row r="920" spans="1:23" ht="15.75" customHeight="1">
      <c r="A920" s="458"/>
      <c r="B920" s="458"/>
      <c r="C920" s="458"/>
      <c r="D920" s="458"/>
      <c r="E920" s="458"/>
      <c r="F920" s="458"/>
      <c r="G920" s="458"/>
      <c r="H920" s="458"/>
      <c r="I920" s="458"/>
      <c r="J920" s="458"/>
      <c r="K920" s="458"/>
      <c r="L920" s="458"/>
      <c r="M920" s="458"/>
      <c r="N920" s="458"/>
      <c r="O920" s="458"/>
      <c r="P920" s="458"/>
      <c r="Q920" s="458"/>
      <c r="R920" s="458"/>
      <c r="S920" s="458"/>
      <c r="T920" s="458"/>
      <c r="U920" s="458"/>
      <c r="V920" s="458"/>
      <c r="W920" s="458"/>
    </row>
    <row r="921" spans="1:23" ht="15.75" customHeight="1">
      <c r="A921" s="458"/>
      <c r="B921" s="458"/>
      <c r="C921" s="458"/>
      <c r="D921" s="458"/>
      <c r="E921" s="458"/>
      <c r="F921" s="458"/>
      <c r="G921" s="458"/>
      <c r="H921" s="458"/>
      <c r="I921" s="458"/>
      <c r="J921" s="458"/>
      <c r="K921" s="458"/>
      <c r="L921" s="458"/>
      <c r="M921" s="458"/>
      <c r="N921" s="458"/>
      <c r="O921" s="458"/>
      <c r="P921" s="458"/>
      <c r="Q921" s="458"/>
      <c r="R921" s="458"/>
      <c r="S921" s="458"/>
      <c r="T921" s="458"/>
      <c r="U921" s="458"/>
      <c r="V921" s="458"/>
      <c r="W921" s="458"/>
    </row>
    <row r="922" spans="1:23" ht="15.75" customHeight="1">
      <c r="A922" s="458"/>
      <c r="B922" s="458"/>
      <c r="C922" s="458"/>
      <c r="D922" s="458"/>
      <c r="E922" s="458"/>
      <c r="F922" s="458"/>
      <c r="G922" s="458"/>
      <c r="H922" s="458"/>
      <c r="I922" s="458"/>
      <c r="J922" s="458"/>
      <c r="K922" s="458"/>
      <c r="L922" s="458"/>
      <c r="M922" s="458"/>
      <c r="N922" s="458"/>
      <c r="O922" s="458"/>
      <c r="P922" s="458"/>
      <c r="Q922" s="458"/>
      <c r="R922" s="458"/>
      <c r="S922" s="458"/>
      <c r="T922" s="458"/>
      <c r="U922" s="458"/>
      <c r="V922" s="458"/>
      <c r="W922" s="458"/>
    </row>
    <row r="923" spans="1:23" ht="15.75" customHeight="1">
      <c r="A923" s="458"/>
      <c r="B923" s="458"/>
      <c r="C923" s="458"/>
      <c r="D923" s="458"/>
      <c r="E923" s="458"/>
      <c r="F923" s="458"/>
      <c r="G923" s="458"/>
      <c r="H923" s="458"/>
      <c r="I923" s="458"/>
      <c r="J923" s="458"/>
      <c r="K923" s="458"/>
      <c r="L923" s="458"/>
      <c r="M923" s="458"/>
      <c r="N923" s="458"/>
      <c r="O923" s="458"/>
      <c r="P923" s="458"/>
      <c r="Q923" s="458"/>
      <c r="R923" s="458"/>
      <c r="S923" s="458"/>
      <c r="T923" s="458"/>
      <c r="U923" s="458"/>
      <c r="V923" s="458"/>
      <c r="W923" s="458"/>
    </row>
    <row r="924" spans="1:23" ht="15.75" customHeight="1">
      <c r="A924" s="458"/>
      <c r="B924" s="458"/>
      <c r="C924" s="458"/>
      <c r="D924" s="458"/>
      <c r="E924" s="458"/>
      <c r="F924" s="458"/>
      <c r="G924" s="458"/>
      <c r="H924" s="458"/>
      <c r="I924" s="458"/>
      <c r="J924" s="458"/>
      <c r="K924" s="458"/>
      <c r="L924" s="458"/>
      <c r="M924" s="458"/>
      <c r="N924" s="458"/>
      <c r="O924" s="458"/>
      <c r="P924" s="458"/>
      <c r="Q924" s="458"/>
      <c r="R924" s="458"/>
      <c r="S924" s="458"/>
      <c r="T924" s="458"/>
      <c r="U924" s="458"/>
      <c r="V924" s="458"/>
      <c r="W924" s="458"/>
    </row>
    <row r="925" spans="1:23" ht="15.75" customHeight="1">
      <c r="A925" s="458"/>
      <c r="B925" s="458"/>
      <c r="C925" s="458"/>
      <c r="D925" s="458"/>
      <c r="E925" s="458"/>
      <c r="F925" s="458"/>
      <c r="G925" s="458"/>
      <c r="H925" s="458"/>
      <c r="I925" s="458"/>
      <c r="J925" s="458"/>
      <c r="K925" s="458"/>
      <c r="L925" s="458"/>
      <c r="M925" s="458"/>
      <c r="N925" s="458"/>
      <c r="O925" s="458"/>
      <c r="P925" s="458"/>
      <c r="Q925" s="458"/>
      <c r="R925" s="458"/>
      <c r="S925" s="458"/>
      <c r="T925" s="458"/>
      <c r="U925" s="458"/>
      <c r="V925" s="458"/>
      <c r="W925" s="458"/>
    </row>
    <row r="926" spans="1:23" ht="15.75" customHeight="1">
      <c r="A926" s="458"/>
      <c r="B926" s="458"/>
      <c r="C926" s="458"/>
      <c r="D926" s="458"/>
      <c r="E926" s="458"/>
      <c r="F926" s="458"/>
      <c r="G926" s="458"/>
      <c r="H926" s="458"/>
      <c r="I926" s="458"/>
      <c r="J926" s="458"/>
      <c r="K926" s="458"/>
      <c r="L926" s="458"/>
      <c r="M926" s="458"/>
      <c r="N926" s="458"/>
      <c r="O926" s="458"/>
      <c r="P926" s="458"/>
      <c r="Q926" s="458"/>
      <c r="R926" s="458"/>
      <c r="S926" s="458"/>
      <c r="T926" s="458"/>
      <c r="U926" s="458"/>
      <c r="V926" s="458"/>
      <c r="W926" s="458"/>
    </row>
    <row r="927" spans="1:23" ht="15.75" customHeight="1">
      <c r="A927" s="458"/>
      <c r="B927" s="458"/>
      <c r="C927" s="458"/>
      <c r="D927" s="458"/>
      <c r="E927" s="458"/>
      <c r="F927" s="458"/>
      <c r="G927" s="458"/>
      <c r="H927" s="458"/>
      <c r="I927" s="458"/>
      <c r="J927" s="458"/>
      <c r="K927" s="458"/>
      <c r="L927" s="458"/>
      <c r="M927" s="458"/>
      <c r="N927" s="458"/>
      <c r="O927" s="458"/>
      <c r="P927" s="458"/>
      <c r="Q927" s="458"/>
      <c r="R927" s="458"/>
      <c r="S927" s="458"/>
      <c r="T927" s="458"/>
      <c r="U927" s="458"/>
      <c r="V927" s="458"/>
      <c r="W927" s="458"/>
    </row>
    <row r="928" spans="1:23" ht="15.75" customHeight="1">
      <c r="A928" s="458"/>
      <c r="B928" s="458"/>
      <c r="C928" s="458"/>
      <c r="D928" s="458"/>
      <c r="E928" s="458"/>
      <c r="F928" s="458"/>
      <c r="G928" s="458"/>
      <c r="H928" s="458"/>
      <c r="I928" s="458"/>
      <c r="J928" s="458"/>
      <c r="K928" s="458"/>
      <c r="L928" s="458"/>
      <c r="M928" s="458"/>
      <c r="N928" s="458"/>
      <c r="O928" s="458"/>
      <c r="P928" s="458"/>
      <c r="Q928" s="458"/>
      <c r="R928" s="458"/>
      <c r="S928" s="458"/>
      <c r="T928" s="458"/>
      <c r="U928" s="458"/>
      <c r="V928" s="458"/>
      <c r="W928" s="458"/>
    </row>
    <row r="929" spans="1:23" ht="15.75" customHeight="1">
      <c r="A929" s="458"/>
      <c r="B929" s="458"/>
      <c r="C929" s="458"/>
      <c r="D929" s="458"/>
      <c r="E929" s="458"/>
      <c r="F929" s="458"/>
      <c r="G929" s="458"/>
      <c r="H929" s="458"/>
      <c r="I929" s="458"/>
      <c r="J929" s="458"/>
      <c r="K929" s="458"/>
      <c r="L929" s="458"/>
      <c r="M929" s="458"/>
      <c r="N929" s="458"/>
      <c r="O929" s="458"/>
      <c r="P929" s="458"/>
      <c r="Q929" s="458"/>
      <c r="R929" s="458"/>
      <c r="S929" s="458"/>
      <c r="T929" s="458"/>
      <c r="U929" s="458"/>
      <c r="V929" s="458"/>
      <c r="W929" s="458"/>
    </row>
    <row r="930" spans="1:23" ht="15.75" customHeight="1">
      <c r="A930" s="458"/>
      <c r="B930" s="458"/>
      <c r="C930" s="458"/>
      <c r="D930" s="458"/>
      <c r="E930" s="458"/>
      <c r="F930" s="458"/>
      <c r="G930" s="458"/>
      <c r="H930" s="458"/>
      <c r="I930" s="458"/>
      <c r="J930" s="458"/>
      <c r="K930" s="458"/>
      <c r="L930" s="458"/>
      <c r="M930" s="458"/>
      <c r="N930" s="458"/>
      <c r="O930" s="458"/>
      <c r="P930" s="458"/>
      <c r="Q930" s="458"/>
      <c r="R930" s="458"/>
      <c r="S930" s="458"/>
      <c r="T930" s="458"/>
      <c r="U930" s="458"/>
      <c r="V930" s="458"/>
      <c r="W930" s="458"/>
    </row>
    <row r="931" spans="1:23" ht="15.75" customHeight="1">
      <c r="A931" s="458"/>
      <c r="B931" s="458"/>
      <c r="C931" s="458"/>
      <c r="D931" s="458"/>
      <c r="E931" s="458"/>
      <c r="F931" s="458"/>
      <c r="G931" s="458"/>
      <c r="H931" s="458"/>
      <c r="I931" s="458"/>
      <c r="J931" s="458"/>
      <c r="K931" s="458"/>
      <c r="L931" s="458"/>
      <c r="M931" s="458"/>
      <c r="N931" s="458"/>
      <c r="O931" s="458"/>
      <c r="P931" s="458"/>
      <c r="Q931" s="458"/>
      <c r="R931" s="458"/>
      <c r="S931" s="458"/>
      <c r="T931" s="458"/>
      <c r="U931" s="458"/>
      <c r="V931" s="458"/>
      <c r="W931" s="458"/>
    </row>
    <row r="932" spans="1:23" ht="15.75" customHeight="1">
      <c r="A932" s="458"/>
      <c r="B932" s="458"/>
      <c r="C932" s="458"/>
      <c r="D932" s="458"/>
      <c r="E932" s="458"/>
      <c r="F932" s="458"/>
      <c r="G932" s="458"/>
      <c r="H932" s="458"/>
      <c r="I932" s="458"/>
      <c r="J932" s="458"/>
      <c r="K932" s="458"/>
      <c r="L932" s="458"/>
      <c r="M932" s="458"/>
      <c r="N932" s="458"/>
      <c r="O932" s="458"/>
      <c r="P932" s="458"/>
      <c r="Q932" s="458"/>
      <c r="R932" s="458"/>
      <c r="S932" s="458"/>
      <c r="T932" s="458"/>
      <c r="U932" s="458"/>
      <c r="V932" s="458"/>
      <c r="W932" s="458"/>
    </row>
    <row r="933" spans="1:23" ht="15.75" customHeight="1">
      <c r="A933" s="458"/>
      <c r="B933" s="458"/>
      <c r="C933" s="458"/>
      <c r="D933" s="458"/>
      <c r="E933" s="458"/>
      <c r="F933" s="458"/>
      <c r="G933" s="458"/>
      <c r="H933" s="458"/>
      <c r="I933" s="458"/>
      <c r="J933" s="458"/>
      <c r="K933" s="458"/>
      <c r="L933" s="458"/>
      <c r="M933" s="458"/>
      <c r="N933" s="458"/>
      <c r="O933" s="458"/>
      <c r="P933" s="458"/>
      <c r="Q933" s="458"/>
      <c r="R933" s="458"/>
      <c r="S933" s="458"/>
      <c r="T933" s="458"/>
      <c r="U933" s="458"/>
      <c r="V933" s="458"/>
      <c r="W933" s="458"/>
    </row>
    <row r="934" spans="1:23" ht="15.75" customHeight="1">
      <c r="A934" s="458"/>
      <c r="B934" s="458"/>
      <c r="C934" s="458"/>
      <c r="D934" s="458"/>
      <c r="E934" s="458"/>
      <c r="F934" s="458"/>
      <c r="G934" s="458"/>
      <c r="H934" s="458"/>
      <c r="I934" s="458"/>
      <c r="J934" s="458"/>
      <c r="K934" s="458"/>
      <c r="L934" s="458"/>
      <c r="M934" s="458"/>
      <c r="N934" s="458"/>
      <c r="O934" s="458"/>
      <c r="P934" s="458"/>
      <c r="Q934" s="458"/>
      <c r="R934" s="458"/>
      <c r="S934" s="458"/>
      <c r="T934" s="458"/>
      <c r="U934" s="458"/>
      <c r="V934" s="458"/>
      <c r="W934" s="458"/>
    </row>
    <row r="935" spans="1:23" ht="15.75" customHeight="1">
      <c r="A935" s="458"/>
      <c r="B935" s="458"/>
      <c r="C935" s="458"/>
      <c r="D935" s="458"/>
      <c r="E935" s="458"/>
      <c r="F935" s="458"/>
      <c r="G935" s="458"/>
      <c r="H935" s="458"/>
      <c r="I935" s="458"/>
      <c r="J935" s="458"/>
      <c r="K935" s="458"/>
      <c r="L935" s="458"/>
      <c r="M935" s="458"/>
      <c r="N935" s="458"/>
      <c r="O935" s="458"/>
      <c r="P935" s="458"/>
      <c r="Q935" s="458"/>
      <c r="R935" s="458"/>
      <c r="S935" s="458"/>
      <c r="T935" s="458"/>
      <c r="U935" s="458"/>
      <c r="V935" s="458"/>
      <c r="W935" s="458"/>
    </row>
    <row r="936" spans="1:23" ht="15.75" customHeight="1">
      <c r="A936" s="458"/>
      <c r="B936" s="458"/>
      <c r="C936" s="458"/>
      <c r="D936" s="458"/>
      <c r="E936" s="458"/>
      <c r="F936" s="458"/>
      <c r="G936" s="458"/>
      <c r="H936" s="458"/>
      <c r="I936" s="458"/>
      <c r="J936" s="458"/>
      <c r="K936" s="458"/>
      <c r="L936" s="458"/>
      <c r="M936" s="458"/>
      <c r="N936" s="458"/>
      <c r="O936" s="458"/>
      <c r="P936" s="458"/>
      <c r="Q936" s="458"/>
      <c r="R936" s="458"/>
      <c r="S936" s="458"/>
      <c r="T936" s="458"/>
      <c r="U936" s="458"/>
      <c r="V936" s="458"/>
      <c r="W936" s="458"/>
    </row>
    <row r="937" spans="1:23" ht="15.75" customHeight="1">
      <c r="A937" s="458"/>
      <c r="B937" s="458"/>
      <c r="C937" s="458"/>
      <c r="D937" s="458"/>
      <c r="E937" s="458"/>
      <c r="F937" s="458"/>
      <c r="G937" s="458"/>
      <c r="H937" s="458"/>
      <c r="I937" s="458"/>
      <c r="J937" s="458"/>
      <c r="K937" s="458"/>
      <c r="L937" s="458"/>
      <c r="M937" s="458"/>
      <c r="N937" s="458"/>
      <c r="O937" s="458"/>
      <c r="P937" s="458"/>
      <c r="Q937" s="458"/>
      <c r="R937" s="458"/>
      <c r="S937" s="458"/>
      <c r="T937" s="458"/>
      <c r="U937" s="458"/>
      <c r="V937" s="458"/>
      <c r="W937" s="458"/>
    </row>
    <row r="938" spans="1:23" ht="15.75" customHeight="1">
      <c r="A938" s="458"/>
      <c r="B938" s="458"/>
      <c r="C938" s="458"/>
      <c r="D938" s="458"/>
      <c r="E938" s="458"/>
      <c r="F938" s="458"/>
      <c r="G938" s="458"/>
      <c r="H938" s="458"/>
      <c r="I938" s="458"/>
      <c r="J938" s="458"/>
      <c r="K938" s="458"/>
      <c r="L938" s="458"/>
      <c r="M938" s="458"/>
      <c r="N938" s="458"/>
      <c r="O938" s="458"/>
      <c r="P938" s="458"/>
      <c r="Q938" s="458"/>
      <c r="R938" s="458"/>
      <c r="S938" s="458"/>
      <c r="T938" s="458"/>
      <c r="U938" s="458"/>
      <c r="V938" s="458"/>
      <c r="W938" s="458"/>
    </row>
    <row r="939" spans="1:23" ht="15.75" customHeight="1">
      <c r="A939" s="458"/>
      <c r="B939" s="458"/>
      <c r="C939" s="458"/>
      <c r="D939" s="458"/>
      <c r="E939" s="458"/>
      <c r="F939" s="458"/>
      <c r="G939" s="458"/>
      <c r="H939" s="458"/>
      <c r="I939" s="458"/>
      <c r="J939" s="458"/>
      <c r="K939" s="458"/>
      <c r="L939" s="458"/>
      <c r="M939" s="458"/>
      <c r="N939" s="458"/>
      <c r="O939" s="458"/>
      <c r="P939" s="458"/>
      <c r="Q939" s="458"/>
      <c r="R939" s="458"/>
      <c r="S939" s="458"/>
      <c r="T939" s="458"/>
      <c r="U939" s="458"/>
      <c r="V939" s="458"/>
      <c r="W939" s="458"/>
    </row>
    <row r="940" spans="1:23" ht="15.75" customHeight="1">
      <c r="A940" s="458"/>
      <c r="B940" s="458"/>
      <c r="C940" s="458"/>
      <c r="D940" s="458"/>
      <c r="E940" s="458"/>
      <c r="F940" s="458"/>
      <c r="G940" s="458"/>
      <c r="H940" s="458"/>
      <c r="I940" s="458"/>
      <c r="J940" s="458"/>
      <c r="K940" s="458"/>
      <c r="L940" s="458"/>
      <c r="M940" s="458"/>
      <c r="N940" s="458"/>
      <c r="O940" s="458"/>
      <c r="P940" s="458"/>
      <c r="Q940" s="458"/>
      <c r="R940" s="458"/>
      <c r="S940" s="458"/>
      <c r="T940" s="458"/>
      <c r="U940" s="458"/>
      <c r="V940" s="458"/>
      <c r="W940" s="458"/>
    </row>
    <row r="941" spans="1:23" ht="15.75" customHeight="1">
      <c r="A941" s="458"/>
      <c r="B941" s="458"/>
      <c r="C941" s="458"/>
      <c r="D941" s="458"/>
      <c r="E941" s="458"/>
      <c r="F941" s="458"/>
      <c r="G941" s="458"/>
      <c r="H941" s="458"/>
      <c r="I941" s="458"/>
      <c r="J941" s="458"/>
      <c r="K941" s="458"/>
      <c r="L941" s="458"/>
      <c r="M941" s="458"/>
      <c r="N941" s="458"/>
      <c r="O941" s="458"/>
      <c r="P941" s="458"/>
      <c r="Q941" s="458"/>
      <c r="R941" s="458"/>
      <c r="S941" s="458"/>
      <c r="T941" s="458"/>
      <c r="U941" s="458"/>
      <c r="V941" s="458"/>
      <c r="W941" s="458"/>
    </row>
    <row r="942" spans="1:23" ht="15.75" customHeight="1">
      <c r="A942" s="458"/>
      <c r="B942" s="458"/>
      <c r="C942" s="458"/>
      <c r="D942" s="458"/>
      <c r="E942" s="458"/>
      <c r="F942" s="458"/>
      <c r="G942" s="458"/>
      <c r="H942" s="458"/>
      <c r="I942" s="458"/>
      <c r="J942" s="458"/>
      <c r="K942" s="458"/>
      <c r="L942" s="458"/>
      <c r="M942" s="458"/>
      <c r="N942" s="458"/>
      <c r="O942" s="458"/>
      <c r="P942" s="458"/>
      <c r="Q942" s="458"/>
      <c r="R942" s="458"/>
      <c r="S942" s="458"/>
      <c r="T942" s="458"/>
      <c r="U942" s="458"/>
      <c r="V942" s="458"/>
      <c r="W942" s="458"/>
    </row>
    <row r="943" spans="1:23" ht="15.75" customHeight="1">
      <c r="A943" s="458"/>
      <c r="B943" s="458"/>
      <c r="C943" s="458"/>
      <c r="D943" s="458"/>
      <c r="E943" s="458"/>
      <c r="F943" s="458"/>
      <c r="G943" s="458"/>
      <c r="H943" s="458"/>
      <c r="I943" s="458"/>
      <c r="J943" s="458"/>
      <c r="K943" s="458"/>
      <c r="L943" s="458"/>
      <c r="M943" s="458"/>
      <c r="N943" s="458"/>
      <c r="O943" s="458"/>
      <c r="P943" s="458"/>
      <c r="Q943" s="458"/>
      <c r="R943" s="458"/>
      <c r="S943" s="458"/>
      <c r="T943" s="458"/>
      <c r="U943" s="458"/>
      <c r="V943" s="458"/>
      <c r="W943" s="458"/>
    </row>
    <row r="944" spans="1:23" ht="15.75" customHeight="1">
      <c r="A944" s="458"/>
      <c r="B944" s="458"/>
      <c r="C944" s="458"/>
      <c r="D944" s="458"/>
      <c r="E944" s="458"/>
      <c r="F944" s="458"/>
      <c r="G944" s="458"/>
      <c r="H944" s="458"/>
      <c r="I944" s="458"/>
      <c r="J944" s="458"/>
      <c r="K944" s="458"/>
      <c r="L944" s="458"/>
      <c r="M944" s="458"/>
      <c r="N944" s="458"/>
      <c r="O944" s="458"/>
      <c r="P944" s="458"/>
      <c r="Q944" s="458"/>
      <c r="R944" s="458"/>
      <c r="S944" s="458"/>
      <c r="T944" s="458"/>
      <c r="U944" s="458"/>
      <c r="V944" s="458"/>
      <c r="W944" s="458"/>
    </row>
    <row r="945" spans="1:23" ht="15.75" customHeight="1">
      <c r="A945" s="458"/>
      <c r="B945" s="458"/>
      <c r="C945" s="458"/>
      <c r="D945" s="458"/>
      <c r="E945" s="458"/>
      <c r="F945" s="458"/>
      <c r="G945" s="458"/>
      <c r="H945" s="458"/>
      <c r="I945" s="458"/>
      <c r="J945" s="458"/>
      <c r="K945" s="458"/>
      <c r="L945" s="458"/>
      <c r="M945" s="458"/>
      <c r="N945" s="458"/>
      <c r="O945" s="458"/>
      <c r="P945" s="458"/>
      <c r="Q945" s="458"/>
      <c r="R945" s="458"/>
      <c r="S945" s="458"/>
      <c r="T945" s="458"/>
      <c r="U945" s="458"/>
      <c r="V945" s="458"/>
      <c r="W945" s="458"/>
    </row>
    <row r="946" spans="1:23" ht="15.75" customHeight="1">
      <c r="A946" s="458"/>
      <c r="B946" s="458"/>
      <c r="C946" s="458"/>
      <c r="D946" s="458"/>
      <c r="E946" s="458"/>
      <c r="F946" s="458"/>
      <c r="G946" s="458"/>
      <c r="H946" s="458"/>
      <c r="I946" s="458"/>
      <c r="J946" s="458"/>
      <c r="K946" s="458"/>
      <c r="L946" s="458"/>
      <c r="M946" s="458"/>
      <c r="N946" s="458"/>
      <c r="O946" s="458"/>
      <c r="P946" s="458"/>
      <c r="Q946" s="458"/>
      <c r="R946" s="458"/>
      <c r="S946" s="458"/>
      <c r="T946" s="458"/>
      <c r="U946" s="458"/>
      <c r="V946" s="458"/>
      <c r="W946" s="458"/>
    </row>
    <row r="947" spans="1:23" ht="15.75" customHeight="1">
      <c r="A947" s="458"/>
      <c r="B947" s="458"/>
      <c r="C947" s="458"/>
      <c r="D947" s="458"/>
      <c r="E947" s="458"/>
      <c r="F947" s="458"/>
      <c r="G947" s="458"/>
      <c r="H947" s="458"/>
      <c r="I947" s="458"/>
      <c r="J947" s="458"/>
      <c r="K947" s="458"/>
      <c r="L947" s="458"/>
      <c r="M947" s="458"/>
      <c r="N947" s="458"/>
      <c r="O947" s="458"/>
      <c r="P947" s="458"/>
      <c r="Q947" s="458"/>
      <c r="R947" s="458"/>
      <c r="S947" s="458"/>
      <c r="T947" s="458"/>
      <c r="U947" s="458"/>
      <c r="V947" s="458"/>
      <c r="W947" s="458"/>
    </row>
    <row r="948" spans="1:23" ht="15.75" customHeight="1">
      <c r="A948" s="458"/>
      <c r="B948" s="458"/>
      <c r="C948" s="458"/>
      <c r="D948" s="458"/>
      <c r="E948" s="458"/>
      <c r="F948" s="458"/>
      <c r="G948" s="458"/>
      <c r="H948" s="458"/>
      <c r="I948" s="458"/>
      <c r="J948" s="458"/>
      <c r="K948" s="458"/>
      <c r="L948" s="458"/>
      <c r="M948" s="458"/>
      <c r="N948" s="458"/>
      <c r="O948" s="458"/>
      <c r="P948" s="458"/>
      <c r="Q948" s="458"/>
      <c r="R948" s="458"/>
      <c r="S948" s="458"/>
      <c r="T948" s="458"/>
      <c r="U948" s="458"/>
      <c r="V948" s="458"/>
      <c r="W948" s="458"/>
    </row>
    <row r="949" spans="1:23" ht="15.75" customHeight="1">
      <c r="A949" s="458"/>
      <c r="B949" s="458"/>
      <c r="C949" s="458"/>
      <c r="D949" s="458"/>
      <c r="E949" s="458"/>
      <c r="F949" s="458"/>
      <c r="G949" s="458"/>
      <c r="H949" s="458"/>
      <c r="I949" s="458"/>
      <c r="J949" s="458"/>
      <c r="K949" s="458"/>
      <c r="L949" s="458"/>
      <c r="M949" s="458"/>
      <c r="N949" s="458"/>
      <c r="O949" s="458"/>
      <c r="P949" s="458"/>
      <c r="Q949" s="458"/>
      <c r="R949" s="458"/>
      <c r="S949" s="458"/>
      <c r="T949" s="458"/>
      <c r="U949" s="458"/>
      <c r="V949" s="458"/>
      <c r="W949" s="458"/>
    </row>
    <row r="950" spans="1:23" ht="15.75" customHeight="1">
      <c r="A950" s="458"/>
      <c r="B950" s="458"/>
      <c r="C950" s="458"/>
      <c r="D950" s="458"/>
      <c r="E950" s="458"/>
      <c r="F950" s="458"/>
      <c r="G950" s="458"/>
      <c r="H950" s="458"/>
      <c r="I950" s="458"/>
      <c r="J950" s="458"/>
      <c r="K950" s="458"/>
      <c r="L950" s="458"/>
      <c r="M950" s="458"/>
      <c r="N950" s="458"/>
      <c r="O950" s="458"/>
      <c r="P950" s="458"/>
      <c r="Q950" s="458"/>
      <c r="R950" s="458"/>
      <c r="S950" s="458"/>
      <c r="T950" s="458"/>
      <c r="U950" s="458"/>
      <c r="V950" s="458"/>
      <c r="W950" s="458"/>
    </row>
    <row r="951" spans="1:23" ht="15.75" customHeight="1">
      <c r="A951" s="458"/>
      <c r="B951" s="458"/>
      <c r="C951" s="458"/>
      <c r="D951" s="458"/>
      <c r="E951" s="458"/>
      <c r="F951" s="458"/>
      <c r="G951" s="458"/>
      <c r="H951" s="458"/>
      <c r="I951" s="458"/>
      <c r="J951" s="458"/>
      <c r="K951" s="458"/>
      <c r="L951" s="458"/>
      <c r="M951" s="458"/>
      <c r="N951" s="458"/>
      <c r="O951" s="458"/>
      <c r="P951" s="458"/>
      <c r="Q951" s="458"/>
      <c r="R951" s="458"/>
      <c r="S951" s="458"/>
      <c r="T951" s="458"/>
      <c r="U951" s="458"/>
      <c r="V951" s="458"/>
      <c r="W951" s="458"/>
    </row>
    <row r="952" spans="1:23" ht="15.75" customHeight="1">
      <c r="A952" s="458"/>
      <c r="B952" s="458"/>
      <c r="C952" s="458"/>
      <c r="D952" s="458"/>
      <c r="E952" s="458"/>
      <c r="F952" s="458"/>
      <c r="G952" s="458"/>
      <c r="H952" s="458"/>
      <c r="I952" s="458"/>
      <c r="J952" s="458"/>
      <c r="K952" s="458"/>
      <c r="L952" s="458"/>
      <c r="M952" s="458"/>
      <c r="N952" s="458"/>
      <c r="O952" s="458"/>
      <c r="P952" s="458"/>
      <c r="Q952" s="458"/>
      <c r="R952" s="458"/>
      <c r="S952" s="458"/>
      <c r="T952" s="458"/>
      <c r="U952" s="458"/>
      <c r="V952" s="458"/>
      <c r="W952" s="458"/>
    </row>
    <row r="953" spans="1:23" ht="15.75" customHeight="1">
      <c r="A953" s="458"/>
      <c r="B953" s="458"/>
      <c r="C953" s="458"/>
      <c r="D953" s="458"/>
      <c r="E953" s="458"/>
      <c r="F953" s="458"/>
      <c r="G953" s="458"/>
      <c r="H953" s="458"/>
      <c r="I953" s="458"/>
      <c r="J953" s="458"/>
      <c r="K953" s="458"/>
      <c r="L953" s="458"/>
      <c r="M953" s="458"/>
      <c r="N953" s="458"/>
      <c r="O953" s="458"/>
      <c r="P953" s="458"/>
      <c r="Q953" s="458"/>
      <c r="R953" s="458"/>
      <c r="S953" s="458"/>
      <c r="T953" s="458"/>
      <c r="U953" s="458"/>
      <c r="V953" s="458"/>
      <c r="W953" s="458"/>
    </row>
    <row r="954" spans="1:23" ht="15.75" customHeight="1">
      <c r="A954" s="458"/>
      <c r="B954" s="458"/>
      <c r="C954" s="458"/>
      <c r="D954" s="458"/>
      <c r="E954" s="458"/>
      <c r="F954" s="458"/>
      <c r="G954" s="458"/>
      <c r="H954" s="458"/>
      <c r="I954" s="458"/>
      <c r="J954" s="458"/>
      <c r="K954" s="458"/>
      <c r="L954" s="458"/>
      <c r="M954" s="458"/>
      <c r="N954" s="458"/>
      <c r="O954" s="458"/>
      <c r="P954" s="458"/>
      <c r="Q954" s="458"/>
      <c r="R954" s="458"/>
      <c r="S954" s="458"/>
      <c r="T954" s="458"/>
      <c r="U954" s="458"/>
      <c r="V954" s="458"/>
      <c r="W954" s="458"/>
    </row>
    <row r="955" spans="1:23" ht="15.75" customHeight="1">
      <c r="A955" s="458"/>
      <c r="B955" s="458"/>
      <c r="C955" s="458"/>
      <c r="D955" s="458"/>
      <c r="E955" s="458"/>
      <c r="F955" s="458"/>
      <c r="G955" s="458"/>
      <c r="H955" s="458"/>
      <c r="I955" s="458"/>
      <c r="J955" s="458"/>
      <c r="K955" s="458"/>
      <c r="L955" s="458"/>
      <c r="M955" s="458"/>
      <c r="N955" s="458"/>
      <c r="O955" s="458"/>
      <c r="P955" s="458"/>
      <c r="Q955" s="458"/>
      <c r="R955" s="458"/>
      <c r="S955" s="458"/>
      <c r="T955" s="458"/>
      <c r="U955" s="458"/>
      <c r="V955" s="458"/>
      <c r="W955" s="458"/>
    </row>
    <row r="956" spans="1:23" ht="15.75" customHeight="1">
      <c r="A956" s="458"/>
      <c r="B956" s="458"/>
      <c r="C956" s="458"/>
      <c r="D956" s="458"/>
      <c r="E956" s="458"/>
      <c r="F956" s="458"/>
      <c r="G956" s="458"/>
      <c r="H956" s="458"/>
      <c r="I956" s="458"/>
      <c r="J956" s="458"/>
      <c r="K956" s="458"/>
      <c r="L956" s="458"/>
      <c r="M956" s="458"/>
      <c r="N956" s="458"/>
      <c r="O956" s="458"/>
      <c r="P956" s="458"/>
      <c r="Q956" s="458"/>
      <c r="R956" s="458"/>
      <c r="S956" s="458"/>
      <c r="T956" s="458"/>
      <c r="U956" s="458"/>
      <c r="V956" s="458"/>
      <c r="W956" s="458"/>
    </row>
    <row r="957" spans="1:23" ht="15.75" customHeight="1">
      <c r="A957" s="458"/>
      <c r="B957" s="458"/>
      <c r="C957" s="458"/>
      <c r="D957" s="458"/>
      <c r="E957" s="458"/>
      <c r="F957" s="458"/>
      <c r="G957" s="458"/>
      <c r="H957" s="458"/>
      <c r="I957" s="458"/>
      <c r="J957" s="458"/>
      <c r="K957" s="458"/>
      <c r="L957" s="458"/>
      <c r="M957" s="458"/>
      <c r="N957" s="458"/>
      <c r="O957" s="458"/>
      <c r="P957" s="458"/>
      <c r="Q957" s="458"/>
      <c r="R957" s="458"/>
      <c r="S957" s="458"/>
      <c r="T957" s="458"/>
      <c r="U957" s="458"/>
      <c r="V957" s="458"/>
      <c r="W957" s="458"/>
    </row>
    <row r="958" spans="1:23" ht="15.75" customHeight="1">
      <c r="A958" s="458"/>
      <c r="B958" s="458"/>
      <c r="C958" s="458"/>
      <c r="D958" s="458"/>
      <c r="E958" s="458"/>
      <c r="F958" s="458"/>
      <c r="G958" s="458"/>
      <c r="H958" s="458"/>
      <c r="I958" s="458"/>
      <c r="J958" s="458"/>
      <c r="K958" s="458"/>
      <c r="L958" s="458"/>
      <c r="M958" s="458"/>
      <c r="N958" s="458"/>
      <c r="O958" s="458"/>
      <c r="P958" s="458"/>
      <c r="Q958" s="458"/>
      <c r="R958" s="458"/>
      <c r="S958" s="458"/>
      <c r="T958" s="458"/>
      <c r="U958" s="458"/>
      <c r="V958" s="458"/>
      <c r="W958" s="458"/>
    </row>
    <row r="959" spans="1:23" ht="15.75" customHeight="1">
      <c r="A959" s="458"/>
      <c r="B959" s="458"/>
      <c r="C959" s="458"/>
      <c r="D959" s="458"/>
      <c r="E959" s="458"/>
      <c r="F959" s="458"/>
      <c r="G959" s="458"/>
      <c r="H959" s="458"/>
      <c r="I959" s="458"/>
      <c r="J959" s="458"/>
      <c r="K959" s="458"/>
      <c r="L959" s="458"/>
      <c r="M959" s="458"/>
      <c r="N959" s="458"/>
      <c r="O959" s="458"/>
      <c r="P959" s="458"/>
      <c r="Q959" s="458"/>
      <c r="R959" s="458"/>
      <c r="S959" s="458"/>
      <c r="T959" s="458"/>
      <c r="U959" s="458"/>
      <c r="V959" s="458"/>
      <c r="W959" s="458"/>
    </row>
    <row r="960" spans="1:23" ht="15.75" customHeight="1">
      <c r="A960" s="458"/>
      <c r="B960" s="458"/>
      <c r="C960" s="458"/>
      <c r="D960" s="458"/>
      <c r="E960" s="458"/>
      <c r="F960" s="458"/>
      <c r="G960" s="458"/>
      <c r="H960" s="458"/>
      <c r="I960" s="458"/>
      <c r="J960" s="458"/>
      <c r="K960" s="458"/>
      <c r="L960" s="458"/>
      <c r="M960" s="458"/>
      <c r="N960" s="458"/>
      <c r="O960" s="458"/>
      <c r="P960" s="458"/>
      <c r="Q960" s="458"/>
      <c r="R960" s="458"/>
      <c r="S960" s="458"/>
      <c r="T960" s="458"/>
      <c r="U960" s="458"/>
      <c r="V960" s="458"/>
      <c r="W960" s="458"/>
    </row>
    <row r="961" spans="1:23" ht="15.75" customHeight="1">
      <c r="A961" s="458"/>
      <c r="B961" s="458"/>
      <c r="C961" s="458"/>
      <c r="D961" s="458"/>
      <c r="E961" s="458"/>
      <c r="F961" s="458"/>
      <c r="G961" s="458"/>
      <c r="H961" s="458"/>
      <c r="I961" s="458"/>
      <c r="J961" s="458"/>
      <c r="K961" s="458"/>
      <c r="L961" s="458"/>
      <c r="M961" s="458"/>
      <c r="N961" s="458"/>
      <c r="O961" s="458"/>
      <c r="P961" s="458"/>
      <c r="Q961" s="458"/>
      <c r="R961" s="458"/>
      <c r="S961" s="458"/>
      <c r="T961" s="458"/>
      <c r="U961" s="458"/>
      <c r="V961" s="458"/>
      <c r="W961" s="458"/>
    </row>
    <row r="962" spans="1:23" ht="15.75" customHeight="1">
      <c r="A962" s="458"/>
      <c r="B962" s="458"/>
      <c r="C962" s="458"/>
      <c r="D962" s="458"/>
      <c r="E962" s="458"/>
      <c r="F962" s="458"/>
      <c r="G962" s="458"/>
      <c r="H962" s="458"/>
      <c r="I962" s="458"/>
      <c r="J962" s="458"/>
      <c r="K962" s="458"/>
      <c r="L962" s="458"/>
      <c r="M962" s="458"/>
      <c r="N962" s="458"/>
      <c r="O962" s="458"/>
      <c r="P962" s="458"/>
      <c r="Q962" s="458"/>
      <c r="R962" s="458"/>
      <c r="S962" s="458"/>
      <c r="T962" s="458"/>
      <c r="U962" s="458"/>
      <c r="V962" s="458"/>
      <c r="W962" s="458"/>
    </row>
    <row r="963" spans="1:23" ht="15.75" customHeight="1">
      <c r="A963" s="458"/>
      <c r="B963" s="458"/>
      <c r="C963" s="458"/>
      <c r="D963" s="458"/>
      <c r="E963" s="458"/>
      <c r="F963" s="458"/>
      <c r="G963" s="458"/>
      <c r="H963" s="458"/>
      <c r="I963" s="458"/>
      <c r="J963" s="458"/>
      <c r="K963" s="458"/>
      <c r="L963" s="458"/>
      <c r="M963" s="458"/>
      <c r="N963" s="458"/>
      <c r="O963" s="458"/>
      <c r="P963" s="458"/>
      <c r="Q963" s="458"/>
      <c r="R963" s="458"/>
      <c r="S963" s="458"/>
      <c r="T963" s="458"/>
      <c r="U963" s="458"/>
      <c r="V963" s="458"/>
      <c r="W963" s="458"/>
    </row>
    <row r="964" spans="1:23" ht="15.75" customHeight="1">
      <c r="A964" s="458"/>
      <c r="B964" s="458"/>
      <c r="C964" s="458"/>
      <c r="D964" s="458"/>
      <c r="E964" s="458"/>
      <c r="F964" s="458"/>
      <c r="G964" s="458"/>
      <c r="H964" s="458"/>
      <c r="I964" s="458"/>
      <c r="J964" s="458"/>
      <c r="K964" s="458"/>
      <c r="L964" s="458"/>
      <c r="M964" s="458"/>
      <c r="N964" s="458"/>
      <c r="O964" s="458"/>
      <c r="P964" s="458"/>
      <c r="Q964" s="458"/>
      <c r="R964" s="458"/>
      <c r="S964" s="458"/>
      <c r="T964" s="458"/>
      <c r="U964" s="458"/>
      <c r="V964" s="458"/>
      <c r="W964" s="458"/>
    </row>
    <row r="965" spans="1:23" ht="15.75" customHeight="1">
      <c r="A965" s="458"/>
      <c r="B965" s="458"/>
      <c r="C965" s="458"/>
      <c r="D965" s="458"/>
      <c r="E965" s="458"/>
      <c r="F965" s="458"/>
      <c r="G965" s="458"/>
      <c r="H965" s="458"/>
      <c r="I965" s="458"/>
      <c r="J965" s="458"/>
      <c r="K965" s="458"/>
      <c r="L965" s="458"/>
      <c r="M965" s="458"/>
      <c r="N965" s="458"/>
      <c r="O965" s="458"/>
      <c r="P965" s="458"/>
      <c r="Q965" s="458"/>
      <c r="R965" s="458"/>
      <c r="S965" s="458"/>
      <c r="T965" s="458"/>
      <c r="U965" s="458"/>
      <c r="V965" s="458"/>
      <c r="W965" s="458"/>
    </row>
    <row r="966" spans="1:23" ht="15.75" customHeight="1">
      <c r="A966" s="458"/>
      <c r="B966" s="458"/>
      <c r="C966" s="458"/>
      <c r="D966" s="458"/>
      <c r="E966" s="458"/>
      <c r="F966" s="458"/>
      <c r="G966" s="458"/>
      <c r="H966" s="458"/>
      <c r="I966" s="458"/>
      <c r="J966" s="458"/>
      <c r="K966" s="458"/>
      <c r="L966" s="458"/>
      <c r="M966" s="458"/>
      <c r="N966" s="458"/>
      <c r="O966" s="458"/>
      <c r="P966" s="458"/>
      <c r="Q966" s="458"/>
      <c r="R966" s="458"/>
      <c r="S966" s="458"/>
      <c r="T966" s="458"/>
      <c r="U966" s="458"/>
      <c r="V966" s="458"/>
      <c r="W966" s="458"/>
    </row>
    <row r="967" spans="1:23" ht="15.75" customHeight="1">
      <c r="A967" s="458"/>
      <c r="B967" s="458"/>
      <c r="C967" s="458"/>
      <c r="D967" s="458"/>
      <c r="E967" s="458"/>
      <c r="F967" s="458"/>
      <c r="G967" s="458"/>
      <c r="H967" s="458"/>
      <c r="I967" s="458"/>
      <c r="J967" s="458"/>
      <c r="K967" s="458"/>
      <c r="L967" s="458"/>
      <c r="M967" s="458"/>
      <c r="N967" s="458"/>
      <c r="O967" s="458"/>
      <c r="P967" s="458"/>
      <c r="Q967" s="458"/>
      <c r="R967" s="458"/>
      <c r="S967" s="458"/>
      <c r="T967" s="458"/>
      <c r="U967" s="458"/>
      <c r="V967" s="458"/>
      <c r="W967" s="458"/>
    </row>
    <row r="968" spans="1:23" ht="15.75" customHeight="1">
      <c r="A968" s="458"/>
      <c r="B968" s="458"/>
      <c r="C968" s="458"/>
      <c r="D968" s="458"/>
      <c r="E968" s="458"/>
      <c r="F968" s="458"/>
      <c r="G968" s="458"/>
      <c r="H968" s="458"/>
      <c r="I968" s="458"/>
      <c r="J968" s="458"/>
      <c r="K968" s="458"/>
      <c r="L968" s="458"/>
      <c r="M968" s="458"/>
      <c r="N968" s="458"/>
      <c r="O968" s="458"/>
      <c r="P968" s="458"/>
      <c r="Q968" s="458"/>
      <c r="R968" s="458"/>
      <c r="S968" s="458"/>
      <c r="T968" s="458"/>
      <c r="U968" s="458"/>
      <c r="V968" s="458"/>
      <c r="W968" s="458"/>
    </row>
    <row r="969" spans="1:23" ht="15.75" customHeight="1">
      <c r="A969" s="458"/>
      <c r="B969" s="458"/>
      <c r="C969" s="458"/>
      <c r="D969" s="458"/>
      <c r="E969" s="458"/>
      <c r="F969" s="458"/>
      <c r="G969" s="458"/>
      <c r="H969" s="458"/>
      <c r="I969" s="458"/>
      <c r="J969" s="458"/>
      <c r="K969" s="458"/>
      <c r="L969" s="458"/>
      <c r="M969" s="458"/>
      <c r="N969" s="458"/>
      <c r="O969" s="458"/>
      <c r="P969" s="458"/>
      <c r="Q969" s="458"/>
      <c r="R969" s="458"/>
      <c r="S969" s="458"/>
      <c r="T969" s="458"/>
      <c r="U969" s="458"/>
      <c r="V969" s="458"/>
      <c r="W969" s="458"/>
    </row>
    <row r="970" spans="1:23" ht="15.75" customHeight="1">
      <c r="A970" s="458"/>
      <c r="B970" s="458"/>
      <c r="C970" s="458"/>
      <c r="D970" s="458"/>
      <c r="E970" s="458"/>
      <c r="F970" s="458"/>
      <c r="G970" s="458"/>
      <c r="H970" s="458"/>
      <c r="I970" s="458"/>
      <c r="J970" s="458"/>
      <c r="K970" s="458"/>
      <c r="L970" s="458"/>
      <c r="M970" s="458"/>
      <c r="N970" s="458"/>
      <c r="O970" s="458"/>
      <c r="P970" s="458"/>
      <c r="Q970" s="458"/>
      <c r="R970" s="458"/>
      <c r="S970" s="458"/>
      <c r="T970" s="458"/>
      <c r="U970" s="458"/>
      <c r="V970" s="458"/>
      <c r="W970" s="458"/>
    </row>
    <row r="971" spans="1:23" ht="15.75" customHeight="1">
      <c r="A971" s="458"/>
      <c r="B971" s="458"/>
      <c r="C971" s="458"/>
      <c r="D971" s="458"/>
      <c r="E971" s="458"/>
      <c r="F971" s="458"/>
      <c r="G971" s="458"/>
      <c r="H971" s="458"/>
      <c r="I971" s="458"/>
      <c r="J971" s="458"/>
      <c r="K971" s="458"/>
      <c r="L971" s="458"/>
      <c r="M971" s="458"/>
      <c r="N971" s="458"/>
      <c r="O971" s="458"/>
      <c r="P971" s="458"/>
      <c r="Q971" s="458"/>
      <c r="R971" s="458"/>
      <c r="S971" s="458"/>
      <c r="T971" s="458"/>
      <c r="U971" s="458"/>
      <c r="V971" s="458"/>
      <c r="W971" s="458"/>
    </row>
    <row r="972" spans="1:23" ht="15.75" customHeight="1">
      <c r="A972" s="458"/>
      <c r="B972" s="458"/>
      <c r="C972" s="458"/>
      <c r="D972" s="458"/>
      <c r="E972" s="458"/>
      <c r="F972" s="458"/>
      <c r="G972" s="458"/>
      <c r="H972" s="458"/>
      <c r="I972" s="458"/>
      <c r="J972" s="458"/>
      <c r="K972" s="458"/>
      <c r="L972" s="458"/>
      <c r="M972" s="458"/>
      <c r="N972" s="458"/>
      <c r="O972" s="458"/>
      <c r="P972" s="458"/>
      <c r="Q972" s="458"/>
      <c r="R972" s="458"/>
      <c r="S972" s="458"/>
      <c r="T972" s="458"/>
      <c r="U972" s="458"/>
      <c r="V972" s="458"/>
      <c r="W972" s="458"/>
    </row>
    <row r="973" spans="1:23" ht="15.75" customHeight="1">
      <c r="A973" s="458"/>
      <c r="B973" s="458"/>
      <c r="C973" s="458"/>
      <c r="D973" s="458"/>
      <c r="E973" s="458"/>
      <c r="F973" s="458"/>
      <c r="G973" s="458"/>
      <c r="H973" s="458"/>
      <c r="I973" s="458"/>
      <c r="J973" s="458"/>
      <c r="K973" s="458"/>
      <c r="L973" s="458"/>
      <c r="M973" s="458"/>
      <c r="N973" s="458"/>
      <c r="O973" s="458"/>
      <c r="P973" s="458"/>
      <c r="Q973" s="458"/>
      <c r="R973" s="458"/>
      <c r="S973" s="458"/>
      <c r="T973" s="458"/>
      <c r="U973" s="458"/>
      <c r="V973" s="458"/>
      <c r="W973" s="458"/>
    </row>
    <row r="974" spans="1:23" ht="15.75" customHeight="1">
      <c r="A974" s="458"/>
      <c r="B974" s="458"/>
      <c r="C974" s="458"/>
      <c r="D974" s="458"/>
      <c r="E974" s="458"/>
      <c r="F974" s="458"/>
      <c r="G974" s="458"/>
      <c r="H974" s="458"/>
      <c r="I974" s="458"/>
      <c r="J974" s="458"/>
      <c r="K974" s="458"/>
      <c r="L974" s="458"/>
      <c r="M974" s="458"/>
      <c r="N974" s="458"/>
      <c r="O974" s="458"/>
      <c r="P974" s="458"/>
      <c r="Q974" s="458"/>
      <c r="R974" s="458"/>
      <c r="S974" s="458"/>
      <c r="T974" s="458"/>
      <c r="U974" s="458"/>
      <c r="V974" s="458"/>
      <c r="W974" s="458"/>
    </row>
    <row r="975" spans="1:23" ht="15.75" customHeight="1">
      <c r="A975" s="458"/>
      <c r="B975" s="458"/>
      <c r="C975" s="458"/>
      <c r="D975" s="458"/>
      <c r="E975" s="458"/>
      <c r="F975" s="458"/>
      <c r="G975" s="458"/>
      <c r="H975" s="458"/>
      <c r="I975" s="458"/>
      <c r="J975" s="458"/>
      <c r="K975" s="458"/>
      <c r="L975" s="458"/>
      <c r="M975" s="458"/>
      <c r="N975" s="458"/>
      <c r="O975" s="458"/>
      <c r="P975" s="458"/>
      <c r="Q975" s="458"/>
      <c r="R975" s="458"/>
      <c r="S975" s="458"/>
      <c r="T975" s="458"/>
      <c r="U975" s="458"/>
      <c r="V975" s="458"/>
      <c r="W975" s="458"/>
    </row>
    <row r="976" spans="1:23" ht="15.75" customHeight="1">
      <c r="A976" s="458"/>
      <c r="B976" s="458"/>
      <c r="C976" s="458"/>
      <c r="D976" s="458"/>
      <c r="E976" s="458"/>
      <c r="F976" s="458"/>
      <c r="G976" s="458"/>
      <c r="H976" s="458"/>
      <c r="I976" s="458"/>
      <c r="J976" s="458"/>
      <c r="K976" s="458"/>
      <c r="L976" s="458"/>
      <c r="M976" s="458"/>
      <c r="N976" s="458"/>
      <c r="O976" s="458"/>
      <c r="P976" s="458"/>
      <c r="Q976" s="458"/>
      <c r="R976" s="458"/>
      <c r="S976" s="458"/>
      <c r="T976" s="458"/>
      <c r="U976" s="458"/>
      <c r="V976" s="458"/>
      <c r="W976" s="458"/>
    </row>
    <row r="977" spans="1:23" ht="15.75" customHeight="1">
      <c r="A977" s="458"/>
      <c r="B977" s="458"/>
      <c r="C977" s="458"/>
      <c r="D977" s="458"/>
      <c r="E977" s="458"/>
      <c r="F977" s="458"/>
      <c r="G977" s="458"/>
      <c r="H977" s="458"/>
      <c r="I977" s="458"/>
      <c r="J977" s="458"/>
      <c r="K977" s="458"/>
      <c r="L977" s="458"/>
      <c r="M977" s="458"/>
      <c r="N977" s="458"/>
      <c r="O977" s="458"/>
      <c r="P977" s="458"/>
      <c r="Q977" s="458"/>
      <c r="R977" s="458"/>
      <c r="S977" s="458"/>
      <c r="T977" s="458"/>
      <c r="U977" s="458"/>
      <c r="V977" s="458"/>
      <c r="W977" s="458"/>
    </row>
    <row r="978" spans="1:23" ht="15.75" customHeight="1">
      <c r="A978" s="458"/>
      <c r="B978" s="458"/>
      <c r="C978" s="458"/>
      <c r="D978" s="458"/>
      <c r="E978" s="458"/>
      <c r="F978" s="458"/>
      <c r="G978" s="458"/>
      <c r="H978" s="458"/>
      <c r="I978" s="458"/>
      <c r="J978" s="458"/>
      <c r="K978" s="458"/>
      <c r="L978" s="458"/>
      <c r="M978" s="458"/>
      <c r="N978" s="458"/>
      <c r="O978" s="458"/>
      <c r="P978" s="458"/>
      <c r="Q978" s="458"/>
      <c r="R978" s="458"/>
      <c r="S978" s="458"/>
      <c r="T978" s="458"/>
      <c r="U978" s="458"/>
      <c r="V978" s="458"/>
      <c r="W978" s="458"/>
    </row>
    <row r="979" spans="1:23" ht="15.75" customHeight="1">
      <c r="A979" s="458"/>
      <c r="B979" s="458"/>
      <c r="C979" s="458"/>
      <c r="D979" s="458"/>
      <c r="E979" s="458"/>
      <c r="F979" s="458"/>
      <c r="G979" s="458"/>
      <c r="H979" s="458"/>
      <c r="I979" s="458"/>
      <c r="J979" s="458"/>
      <c r="K979" s="458"/>
      <c r="L979" s="458"/>
      <c r="M979" s="458"/>
      <c r="N979" s="458"/>
      <c r="O979" s="458"/>
      <c r="P979" s="458"/>
      <c r="Q979" s="458"/>
      <c r="R979" s="458"/>
      <c r="S979" s="458"/>
      <c r="T979" s="458"/>
      <c r="U979" s="458"/>
      <c r="V979" s="458"/>
      <c r="W979" s="458"/>
    </row>
    <row r="980" spans="1:23" ht="15.75" customHeight="1">
      <c r="A980" s="458"/>
      <c r="B980" s="458"/>
      <c r="C980" s="458"/>
      <c r="D980" s="458"/>
      <c r="E980" s="458"/>
      <c r="F980" s="458"/>
      <c r="G980" s="458"/>
      <c r="H980" s="458"/>
      <c r="I980" s="458"/>
      <c r="J980" s="458"/>
      <c r="K980" s="458"/>
      <c r="L980" s="458"/>
      <c r="M980" s="458"/>
      <c r="N980" s="458"/>
      <c r="O980" s="458"/>
      <c r="P980" s="458"/>
      <c r="Q980" s="458"/>
      <c r="R980" s="458"/>
      <c r="S980" s="458"/>
      <c r="T980" s="458"/>
      <c r="U980" s="458"/>
      <c r="V980" s="458"/>
      <c r="W980" s="458"/>
    </row>
    <row r="981" spans="1:23" ht="15.75" customHeight="1">
      <c r="A981" s="458"/>
      <c r="B981" s="458"/>
      <c r="C981" s="458"/>
      <c r="D981" s="458"/>
      <c r="E981" s="458"/>
      <c r="F981" s="458"/>
      <c r="G981" s="458"/>
      <c r="H981" s="458"/>
      <c r="I981" s="458"/>
      <c r="J981" s="458"/>
      <c r="K981" s="458"/>
      <c r="L981" s="458"/>
      <c r="M981" s="458"/>
      <c r="N981" s="458"/>
      <c r="O981" s="458"/>
      <c r="P981" s="458"/>
      <c r="Q981" s="458"/>
      <c r="R981" s="458"/>
      <c r="S981" s="458"/>
      <c r="T981" s="458"/>
      <c r="U981" s="458"/>
      <c r="V981" s="458"/>
      <c r="W981" s="458"/>
    </row>
    <row r="982" spans="1:23" ht="15.75" customHeight="1">
      <c r="A982" s="458"/>
      <c r="B982" s="458"/>
      <c r="C982" s="458"/>
      <c r="D982" s="458"/>
      <c r="E982" s="458"/>
      <c r="F982" s="458"/>
      <c r="G982" s="458"/>
      <c r="H982" s="458"/>
      <c r="I982" s="458"/>
      <c r="J982" s="458"/>
      <c r="K982" s="458"/>
      <c r="L982" s="458"/>
      <c r="M982" s="458"/>
      <c r="N982" s="458"/>
      <c r="O982" s="458"/>
      <c r="P982" s="458"/>
      <c r="Q982" s="458"/>
      <c r="R982" s="458"/>
      <c r="S982" s="458"/>
      <c r="T982" s="458"/>
      <c r="U982" s="458"/>
      <c r="V982" s="458"/>
      <c r="W982" s="458"/>
    </row>
    <row r="983" spans="1:23" ht="15.75" customHeight="1">
      <c r="A983" s="458"/>
      <c r="B983" s="458"/>
      <c r="C983" s="458"/>
      <c r="D983" s="458"/>
      <c r="E983" s="458"/>
      <c r="F983" s="458"/>
      <c r="G983" s="458"/>
      <c r="H983" s="458"/>
      <c r="I983" s="458"/>
      <c r="J983" s="458"/>
      <c r="K983" s="458"/>
      <c r="L983" s="458"/>
      <c r="M983" s="458"/>
      <c r="N983" s="458"/>
      <c r="O983" s="458"/>
      <c r="P983" s="458"/>
      <c r="Q983" s="458"/>
      <c r="R983" s="458"/>
      <c r="S983" s="458"/>
      <c r="T983" s="458"/>
      <c r="U983" s="458"/>
      <c r="V983" s="458"/>
      <c r="W983" s="458"/>
    </row>
    <row r="984" spans="1:23" ht="15.75" customHeight="1">
      <c r="A984" s="458"/>
      <c r="B984" s="458"/>
      <c r="C984" s="458"/>
      <c r="D984" s="458"/>
      <c r="E984" s="458"/>
      <c r="F984" s="458"/>
      <c r="G984" s="458"/>
      <c r="H984" s="458"/>
      <c r="I984" s="458"/>
      <c r="J984" s="458"/>
      <c r="K984" s="458"/>
      <c r="L984" s="458"/>
      <c r="M984" s="458"/>
      <c r="N984" s="458"/>
      <c r="O984" s="458"/>
      <c r="P984" s="458"/>
      <c r="Q984" s="458"/>
      <c r="R984" s="458"/>
      <c r="S984" s="458"/>
      <c r="T984" s="458"/>
      <c r="U984" s="458"/>
      <c r="V984" s="458"/>
      <c r="W984" s="458"/>
    </row>
    <row r="985" spans="1:23" ht="15.75" customHeight="1">
      <c r="A985" s="458"/>
      <c r="B985" s="458"/>
      <c r="C985" s="458"/>
      <c r="D985" s="458"/>
      <c r="E985" s="458"/>
      <c r="F985" s="458"/>
      <c r="G985" s="458"/>
      <c r="H985" s="458"/>
      <c r="I985" s="458"/>
      <c r="J985" s="458"/>
      <c r="K985" s="458"/>
      <c r="L985" s="458"/>
      <c r="M985" s="458"/>
      <c r="N985" s="458"/>
      <c r="O985" s="458"/>
      <c r="P985" s="458"/>
      <c r="Q985" s="458"/>
      <c r="R985" s="458"/>
      <c r="S985" s="458"/>
      <c r="T985" s="458"/>
      <c r="U985" s="458"/>
      <c r="V985" s="458"/>
      <c r="W985" s="458"/>
    </row>
    <row r="986" spans="1:23" ht="15.75" customHeight="1">
      <c r="A986" s="458"/>
      <c r="B986" s="458"/>
      <c r="C986" s="458"/>
      <c r="D986" s="458"/>
      <c r="E986" s="458"/>
      <c r="F986" s="458"/>
      <c r="G986" s="458"/>
      <c r="H986" s="458"/>
      <c r="I986" s="458"/>
      <c r="J986" s="458"/>
      <c r="K986" s="458"/>
      <c r="L986" s="458"/>
      <c r="M986" s="458"/>
      <c r="N986" s="458"/>
      <c r="O986" s="458"/>
      <c r="P986" s="458"/>
      <c r="Q986" s="458"/>
      <c r="R986" s="458"/>
      <c r="S986" s="458"/>
      <c r="T986" s="458"/>
      <c r="U986" s="458"/>
      <c r="V986" s="458"/>
      <c r="W986" s="458"/>
    </row>
    <row r="987" spans="1:23" ht="15.75" customHeight="1">
      <c r="A987" s="458"/>
      <c r="B987" s="458"/>
      <c r="C987" s="458"/>
      <c r="D987" s="458"/>
      <c r="E987" s="458"/>
      <c r="F987" s="458"/>
      <c r="G987" s="458"/>
      <c r="H987" s="458"/>
      <c r="I987" s="458"/>
      <c r="J987" s="458"/>
      <c r="K987" s="458"/>
      <c r="L987" s="458"/>
      <c r="M987" s="458"/>
      <c r="N987" s="458"/>
      <c r="O987" s="458"/>
      <c r="P987" s="458"/>
      <c r="Q987" s="458"/>
      <c r="R987" s="458"/>
      <c r="S987" s="458"/>
      <c r="T987" s="458"/>
      <c r="U987" s="458"/>
      <c r="V987" s="458"/>
      <c r="W987" s="458"/>
    </row>
    <row r="988" spans="1:23" ht="15.75" customHeight="1">
      <c r="A988" s="458"/>
      <c r="B988" s="458"/>
      <c r="C988" s="458"/>
      <c r="D988" s="458"/>
      <c r="E988" s="458"/>
      <c r="F988" s="458"/>
      <c r="G988" s="458"/>
      <c r="H988" s="458"/>
      <c r="I988" s="458"/>
      <c r="J988" s="458"/>
      <c r="K988" s="458"/>
      <c r="L988" s="458"/>
      <c r="M988" s="458"/>
      <c r="N988" s="458"/>
      <c r="O988" s="458"/>
      <c r="P988" s="458"/>
      <c r="Q988" s="458"/>
      <c r="R988" s="458"/>
      <c r="S988" s="458"/>
      <c r="T988" s="458"/>
      <c r="U988" s="458"/>
      <c r="V988" s="458"/>
      <c r="W988" s="458"/>
    </row>
    <row r="989" spans="1:23" ht="15.75" customHeight="1">
      <c r="A989" s="458"/>
      <c r="B989" s="458"/>
      <c r="C989" s="458"/>
      <c r="D989" s="458"/>
      <c r="E989" s="458"/>
      <c r="F989" s="458"/>
      <c r="G989" s="458"/>
      <c r="H989" s="458"/>
      <c r="I989" s="458"/>
      <c r="J989" s="458"/>
      <c r="K989" s="458"/>
      <c r="L989" s="458"/>
      <c r="M989" s="458"/>
      <c r="N989" s="458"/>
      <c r="O989" s="458"/>
      <c r="P989" s="458"/>
      <c r="Q989" s="458"/>
      <c r="R989" s="458"/>
      <c r="S989" s="458"/>
      <c r="T989" s="458"/>
      <c r="U989" s="458"/>
      <c r="V989" s="458"/>
      <c r="W989" s="458"/>
    </row>
    <row r="990" spans="1:23" ht="15.75" customHeight="1">
      <c r="A990" s="458"/>
      <c r="B990" s="458"/>
      <c r="C990" s="458"/>
      <c r="D990" s="458"/>
      <c r="E990" s="458"/>
      <c r="F990" s="458"/>
      <c r="G990" s="458"/>
      <c r="H990" s="458"/>
      <c r="I990" s="458"/>
      <c r="J990" s="458"/>
      <c r="K990" s="458"/>
      <c r="L990" s="458"/>
      <c r="M990" s="458"/>
      <c r="N990" s="458"/>
      <c r="O990" s="458"/>
      <c r="P990" s="458"/>
      <c r="Q990" s="458"/>
      <c r="R990" s="458"/>
      <c r="S990" s="458"/>
      <c r="T990" s="458"/>
      <c r="U990" s="458"/>
      <c r="V990" s="458"/>
      <c r="W990" s="458"/>
    </row>
    <row r="991" spans="1:23" ht="15.75" customHeight="1">
      <c r="A991" s="458"/>
      <c r="B991" s="458"/>
      <c r="C991" s="458"/>
      <c r="D991" s="458"/>
      <c r="E991" s="458"/>
      <c r="F991" s="458"/>
      <c r="G991" s="458"/>
      <c r="H991" s="458"/>
      <c r="I991" s="458"/>
      <c r="J991" s="458"/>
      <c r="K991" s="458"/>
      <c r="L991" s="458"/>
      <c r="M991" s="458"/>
      <c r="N991" s="458"/>
      <c r="O991" s="458"/>
      <c r="P991" s="458"/>
      <c r="Q991" s="458"/>
      <c r="R991" s="458"/>
      <c r="S991" s="458"/>
      <c r="T991" s="458"/>
      <c r="U991" s="458"/>
      <c r="V991" s="458"/>
      <c r="W991" s="458"/>
    </row>
    <row r="992" spans="1:23" ht="15.75" customHeight="1">
      <c r="A992" s="458"/>
      <c r="B992" s="458"/>
      <c r="C992" s="458"/>
      <c r="D992" s="458"/>
      <c r="E992" s="458"/>
      <c r="F992" s="458"/>
      <c r="G992" s="458"/>
      <c r="H992" s="458"/>
      <c r="I992" s="458"/>
      <c r="J992" s="458"/>
      <c r="K992" s="458"/>
      <c r="L992" s="458"/>
      <c r="M992" s="458"/>
      <c r="N992" s="458"/>
      <c r="O992" s="458"/>
      <c r="P992" s="458"/>
      <c r="Q992" s="458"/>
      <c r="R992" s="458"/>
      <c r="S992" s="458"/>
      <c r="T992" s="458"/>
      <c r="U992" s="458"/>
      <c r="V992" s="458"/>
      <c r="W992" s="458"/>
    </row>
    <row r="993" spans="1:23" ht="15.75" customHeight="1">
      <c r="A993" s="458"/>
      <c r="B993" s="458"/>
      <c r="C993" s="458"/>
      <c r="D993" s="458"/>
      <c r="E993" s="458"/>
      <c r="F993" s="458"/>
      <c r="G993" s="458"/>
      <c r="H993" s="458"/>
      <c r="I993" s="458"/>
      <c r="J993" s="458"/>
      <c r="K993" s="458"/>
      <c r="L993" s="458"/>
      <c r="M993" s="458"/>
      <c r="N993" s="458"/>
      <c r="O993" s="458"/>
      <c r="P993" s="458"/>
      <c r="Q993" s="458"/>
      <c r="R993" s="458"/>
      <c r="S993" s="458"/>
      <c r="T993" s="458"/>
      <c r="U993" s="458"/>
      <c r="V993" s="458"/>
      <c r="W993" s="458"/>
    </row>
    <row r="994" spans="1:23" ht="15.75" customHeight="1">
      <c r="A994" s="458"/>
      <c r="B994" s="458"/>
      <c r="C994" s="458"/>
      <c r="D994" s="458"/>
      <c r="E994" s="458"/>
      <c r="F994" s="458"/>
      <c r="G994" s="458"/>
      <c r="H994" s="458"/>
      <c r="I994" s="458"/>
      <c r="J994" s="458"/>
      <c r="K994" s="458"/>
      <c r="L994" s="458"/>
      <c r="M994" s="458"/>
      <c r="N994" s="458"/>
      <c r="O994" s="458"/>
      <c r="P994" s="458"/>
      <c r="Q994" s="458"/>
      <c r="R994" s="458"/>
      <c r="S994" s="458"/>
      <c r="T994" s="458"/>
      <c r="U994" s="458"/>
      <c r="V994" s="458"/>
      <c r="W994" s="458"/>
    </row>
    <row r="995" spans="1:23" ht="15.75" customHeight="1">
      <c r="A995" s="458"/>
      <c r="B995" s="458"/>
      <c r="C995" s="458"/>
      <c r="D995" s="458"/>
      <c r="E995" s="458"/>
      <c r="F995" s="458"/>
      <c r="G995" s="458"/>
      <c r="H995" s="458"/>
      <c r="I995" s="458"/>
      <c r="J995" s="458"/>
      <c r="K995" s="458"/>
      <c r="L995" s="458"/>
      <c r="M995" s="458"/>
      <c r="N995" s="458"/>
      <c r="O995" s="458"/>
      <c r="P995" s="458"/>
      <c r="Q995" s="458"/>
      <c r="R995" s="458"/>
      <c r="S995" s="458"/>
      <c r="T995" s="458"/>
      <c r="U995" s="458"/>
      <c r="V995" s="458"/>
      <c r="W995" s="458"/>
    </row>
    <row r="996" spans="1:23" ht="15.75" customHeight="1">
      <c r="A996" s="458"/>
      <c r="B996" s="458"/>
      <c r="C996" s="458"/>
      <c r="D996" s="458"/>
      <c r="E996" s="458"/>
      <c r="F996" s="458"/>
      <c r="G996" s="458"/>
      <c r="H996" s="458"/>
      <c r="I996" s="458"/>
      <c r="J996" s="458"/>
      <c r="K996" s="458"/>
      <c r="L996" s="458"/>
      <c r="M996" s="458"/>
      <c r="N996" s="458"/>
      <c r="O996" s="458"/>
      <c r="P996" s="458"/>
      <c r="Q996" s="458"/>
      <c r="R996" s="458"/>
      <c r="S996" s="458"/>
      <c r="T996" s="458"/>
      <c r="U996" s="458"/>
      <c r="V996" s="458"/>
      <c r="W996" s="458"/>
    </row>
    <row r="997" spans="1:23" ht="15.75" customHeight="1">
      <c r="A997" s="458"/>
      <c r="B997" s="458"/>
      <c r="C997" s="458"/>
      <c r="D997" s="458"/>
      <c r="E997" s="458"/>
      <c r="F997" s="458"/>
      <c r="G997" s="458"/>
      <c r="H997" s="458"/>
      <c r="I997" s="458"/>
      <c r="J997" s="458"/>
      <c r="K997" s="458"/>
      <c r="L997" s="458"/>
      <c r="M997" s="458"/>
      <c r="N997" s="458"/>
      <c r="O997" s="458"/>
      <c r="P997" s="458"/>
      <c r="Q997" s="458"/>
      <c r="R997" s="458"/>
      <c r="S997" s="458"/>
      <c r="T997" s="458"/>
      <c r="U997" s="458"/>
      <c r="V997" s="458"/>
      <c r="W997" s="458"/>
    </row>
    <row r="998" spans="1:23" ht="15.75" customHeight="1">
      <c r="A998" s="458"/>
      <c r="B998" s="458"/>
      <c r="C998" s="458"/>
      <c r="D998" s="458"/>
      <c r="E998" s="458"/>
      <c r="F998" s="458"/>
      <c r="G998" s="458"/>
      <c r="H998" s="458"/>
      <c r="I998" s="458"/>
      <c r="J998" s="458"/>
      <c r="K998" s="458"/>
      <c r="L998" s="458"/>
      <c r="M998" s="458"/>
      <c r="N998" s="458"/>
      <c r="O998" s="458"/>
      <c r="P998" s="458"/>
      <c r="Q998" s="458"/>
      <c r="R998" s="458"/>
      <c r="S998" s="458"/>
      <c r="T998" s="458"/>
      <c r="U998" s="458"/>
      <c r="V998" s="458"/>
      <c r="W998" s="458"/>
    </row>
    <row r="999" spans="1:23" ht="15.75" customHeight="1">
      <c r="A999" s="458"/>
      <c r="B999" s="458"/>
      <c r="C999" s="458"/>
      <c r="D999" s="458"/>
      <c r="E999" s="458"/>
      <c r="F999" s="458"/>
      <c r="G999" s="458"/>
      <c r="H999" s="458"/>
      <c r="I999" s="458"/>
      <c r="J999" s="458"/>
      <c r="K999" s="458"/>
      <c r="L999" s="458"/>
      <c r="M999" s="458"/>
      <c r="N999" s="458"/>
      <c r="O999" s="458"/>
      <c r="P999" s="458"/>
      <c r="Q999" s="458"/>
      <c r="R999" s="458"/>
      <c r="S999" s="458"/>
      <c r="T999" s="458"/>
      <c r="U999" s="458"/>
      <c r="V999" s="458"/>
      <c r="W999" s="458"/>
    </row>
    <row r="1000" spans="1:23" ht="15.75" customHeight="1">
      <c r="A1000" s="458"/>
      <c r="B1000" s="458"/>
      <c r="C1000" s="458"/>
      <c r="D1000" s="458"/>
      <c r="E1000" s="458"/>
      <c r="F1000" s="458"/>
      <c r="G1000" s="458"/>
      <c r="H1000" s="458"/>
      <c r="I1000" s="458"/>
      <c r="J1000" s="458"/>
      <c r="K1000" s="458"/>
      <c r="L1000" s="458"/>
      <c r="M1000" s="458"/>
      <c r="N1000" s="458"/>
      <c r="O1000" s="458"/>
      <c r="P1000" s="458"/>
      <c r="Q1000" s="458"/>
      <c r="R1000" s="458"/>
      <c r="S1000" s="458"/>
      <c r="T1000" s="458"/>
      <c r="U1000" s="458"/>
      <c r="V1000" s="458"/>
      <c r="W1000" s="458"/>
    </row>
  </sheetData>
  <mergeCells count="6">
    <mergeCell ref="M48:M49"/>
    <mergeCell ref="G13:I13"/>
    <mergeCell ref="C38:C39"/>
    <mergeCell ref="D38:D39"/>
    <mergeCell ref="E48:E49"/>
    <mergeCell ref="G48:G49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000"/>
  <sheetViews>
    <sheetView workbookViewId="0">
      <selection activeCell="G16" sqref="G16"/>
    </sheetView>
  </sheetViews>
  <sheetFormatPr defaultColWidth="14.42578125" defaultRowHeight="15" customHeight="1"/>
  <cols>
    <col min="1" max="1" width="3.42578125" style="456" customWidth="1"/>
    <col min="2" max="2" width="33.5703125" style="456" customWidth="1"/>
    <col min="3" max="3" width="11.42578125" style="456" customWidth="1"/>
    <col min="4" max="4" width="11" style="456" customWidth="1"/>
    <col min="5" max="5" width="14" style="456" customWidth="1"/>
    <col min="6" max="6" width="16.85546875" style="456" customWidth="1"/>
    <col min="7" max="7" width="13.42578125" style="456" customWidth="1"/>
    <col min="8" max="8" width="14" style="456" customWidth="1"/>
    <col min="9" max="9" width="13" style="456" customWidth="1"/>
    <col min="10" max="10" width="10.85546875" style="456" customWidth="1"/>
    <col min="11" max="11" width="12" style="456" customWidth="1"/>
    <col min="12" max="12" width="10.42578125" style="456" customWidth="1"/>
    <col min="13" max="13" width="11.5703125" style="456" customWidth="1"/>
    <col min="14" max="23" width="11.42578125" style="456" customWidth="1"/>
    <col min="24" max="16384" width="14.42578125" style="456"/>
  </cols>
  <sheetData>
    <row r="1" spans="1:23" ht="23.25">
      <c r="A1" s="454" t="s">
        <v>217</v>
      </c>
      <c r="B1" s="455"/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</row>
    <row r="2" spans="1:23">
      <c r="A2" s="457" t="str">
        <f>"(In "&amp;F10&amp;" Millions Except Per Share Data)"</f>
        <v>(In USD Millions Except Per Share Data)</v>
      </c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</row>
    <row r="3" spans="1:23" ht="15.75" thickBot="1">
      <c r="A3" s="458"/>
      <c r="B3" s="458"/>
      <c r="C3" s="458"/>
      <c r="D3" s="458"/>
      <c r="E3" s="458"/>
      <c r="F3" s="458"/>
      <c r="G3" s="458"/>
      <c r="H3" s="458"/>
      <c r="I3" s="458"/>
      <c r="J3" s="458"/>
      <c r="K3" s="458"/>
      <c r="L3" s="458"/>
      <c r="M3" s="458"/>
      <c r="N3" s="458"/>
      <c r="O3" s="458"/>
      <c r="P3" s="458"/>
      <c r="Q3" s="458"/>
      <c r="R3" s="458"/>
      <c r="S3" s="458"/>
      <c r="T3" s="458"/>
      <c r="U3" s="458"/>
      <c r="V3" s="458"/>
      <c r="W3" s="458"/>
    </row>
    <row r="4" spans="1:23">
      <c r="A4" s="459" t="s">
        <v>430</v>
      </c>
      <c r="B4" s="460"/>
      <c r="C4" s="460"/>
      <c r="D4" s="460"/>
      <c r="E4" s="460"/>
      <c r="F4" s="461"/>
      <c r="G4" s="458"/>
      <c r="H4" s="458"/>
      <c r="I4" s="458"/>
      <c r="J4" s="458"/>
      <c r="K4" s="458"/>
      <c r="L4" s="458"/>
      <c r="M4" s="458"/>
      <c r="N4" s="458"/>
      <c r="O4" s="458"/>
      <c r="P4" s="458"/>
      <c r="Q4" s="458"/>
      <c r="R4" s="458"/>
      <c r="S4" s="458"/>
      <c r="T4" s="458"/>
      <c r="U4" s="458"/>
      <c r="V4" s="458"/>
      <c r="W4" s="458"/>
    </row>
    <row r="5" spans="1:23">
      <c r="A5" s="462" t="s">
        <v>431</v>
      </c>
      <c r="B5" s="458"/>
      <c r="C5" s="458"/>
      <c r="D5" s="458"/>
      <c r="E5" s="458"/>
      <c r="F5" s="463" t="s">
        <v>432</v>
      </c>
      <c r="G5" s="458"/>
      <c r="H5" s="458"/>
      <c r="I5" s="458"/>
      <c r="J5" s="458"/>
      <c r="K5" s="458"/>
      <c r="L5" s="458"/>
      <c r="M5" s="458"/>
      <c r="N5" s="458"/>
      <c r="O5" s="458"/>
      <c r="P5" s="458"/>
      <c r="Q5" s="458"/>
      <c r="R5" s="458"/>
      <c r="S5" s="458"/>
      <c r="T5" s="458"/>
      <c r="U5" s="458"/>
      <c r="V5" s="458"/>
      <c r="W5" s="458"/>
    </row>
    <row r="6" spans="1:23">
      <c r="A6" s="462" t="s">
        <v>433</v>
      </c>
      <c r="B6" s="458"/>
      <c r="C6" s="458"/>
      <c r="D6" s="458"/>
      <c r="E6" s="458"/>
      <c r="F6" s="464">
        <v>45739</v>
      </c>
      <c r="G6" s="458"/>
      <c r="H6" s="458"/>
      <c r="I6" s="458"/>
      <c r="J6" s="458"/>
      <c r="K6" s="458"/>
      <c r="L6" s="458"/>
      <c r="M6" s="458"/>
      <c r="N6" s="458"/>
      <c r="O6" s="458"/>
      <c r="P6" s="458"/>
      <c r="Q6" s="458"/>
      <c r="R6" s="458"/>
      <c r="S6" s="458"/>
      <c r="T6" s="458"/>
      <c r="U6" s="458"/>
      <c r="V6" s="458"/>
      <c r="W6" s="458"/>
    </row>
    <row r="7" spans="1:23">
      <c r="A7" s="462" t="s">
        <v>434</v>
      </c>
      <c r="B7" s="458"/>
      <c r="C7" s="458"/>
      <c r="D7" s="458"/>
      <c r="E7" s="458"/>
      <c r="F7" s="464">
        <v>45739</v>
      </c>
      <c r="G7" s="458"/>
      <c r="H7" s="458"/>
      <c r="I7" s="458"/>
      <c r="J7" s="458"/>
      <c r="K7" s="458"/>
      <c r="L7" s="458"/>
      <c r="M7" s="458"/>
      <c r="N7" s="458"/>
      <c r="O7" s="458"/>
      <c r="P7" s="458"/>
      <c r="Q7" s="458"/>
      <c r="R7" s="458"/>
      <c r="S7" s="458"/>
      <c r="T7" s="458"/>
      <c r="U7" s="458"/>
      <c r="V7" s="458"/>
      <c r="W7" s="458"/>
    </row>
    <row r="8" spans="1:23">
      <c r="A8" s="462" t="s">
        <v>435</v>
      </c>
      <c r="B8" s="458"/>
      <c r="C8" s="458"/>
      <c r="D8" s="458"/>
      <c r="E8" s="458"/>
      <c r="F8" s="465">
        <v>45657</v>
      </c>
      <c r="G8" s="458"/>
      <c r="H8" s="458"/>
      <c r="I8" s="458"/>
      <c r="J8" s="458"/>
      <c r="K8" s="458"/>
      <c r="L8" s="458"/>
      <c r="M8" s="458"/>
      <c r="N8" s="458"/>
      <c r="O8" s="458"/>
      <c r="P8" s="458"/>
      <c r="Q8" s="458"/>
      <c r="R8" s="458"/>
      <c r="S8" s="458"/>
      <c r="T8" s="458"/>
      <c r="U8" s="458"/>
      <c r="V8" s="458"/>
      <c r="W8" s="458"/>
    </row>
    <row r="9" spans="1:23">
      <c r="A9" s="462" t="s">
        <v>436</v>
      </c>
      <c r="B9" s="458"/>
      <c r="C9" s="458"/>
      <c r="D9" s="458"/>
      <c r="E9" s="458"/>
      <c r="F9" s="465">
        <f>F8</f>
        <v>45657</v>
      </c>
      <c r="G9" s="458"/>
      <c r="H9" s="458"/>
      <c r="I9" s="458"/>
      <c r="J9" s="458"/>
      <c r="K9" s="458"/>
      <c r="L9" s="458"/>
      <c r="M9" s="458"/>
      <c r="N9" s="458"/>
      <c r="O9" s="458"/>
      <c r="P9" s="458"/>
      <c r="Q9" s="458"/>
      <c r="R9" s="458"/>
      <c r="S9" s="458"/>
      <c r="T9" s="458"/>
      <c r="U9" s="458"/>
      <c r="V9" s="458"/>
      <c r="W9" s="458"/>
    </row>
    <row r="10" spans="1:23">
      <c r="A10" s="462" t="s">
        <v>437</v>
      </c>
      <c r="B10" s="458"/>
      <c r="C10" s="458"/>
      <c r="D10" s="458"/>
      <c r="E10" s="458"/>
      <c r="F10" s="463" t="s">
        <v>438</v>
      </c>
      <c r="G10" s="458"/>
      <c r="H10" s="458"/>
      <c r="I10" s="458"/>
      <c r="J10" s="458"/>
      <c r="K10" s="458"/>
      <c r="L10" s="458"/>
      <c r="M10" s="458"/>
      <c r="N10" s="458"/>
      <c r="O10" s="458"/>
      <c r="P10" s="458"/>
      <c r="Q10" s="458"/>
      <c r="R10" s="458"/>
      <c r="S10" s="458"/>
      <c r="T10" s="458"/>
      <c r="U10" s="458"/>
      <c r="V10" s="458"/>
      <c r="W10" s="458"/>
    </row>
    <row r="11" spans="1:23" ht="15.75" thickBot="1">
      <c r="A11" s="466" t="s">
        <v>252</v>
      </c>
      <c r="B11" s="467"/>
      <c r="C11" s="467"/>
      <c r="D11" s="467"/>
      <c r="E11" s="467"/>
      <c r="F11" s="468">
        <v>0.21</v>
      </c>
      <c r="G11" s="458"/>
      <c r="H11" s="458"/>
      <c r="I11" s="458"/>
      <c r="J11" s="458"/>
      <c r="K11" s="458"/>
      <c r="L11" s="458"/>
      <c r="M11" s="458"/>
      <c r="N11" s="458"/>
      <c r="O11" s="458"/>
      <c r="P11" s="458"/>
      <c r="Q11" s="458"/>
      <c r="R11" s="458"/>
      <c r="S11" s="458"/>
      <c r="T11" s="458"/>
      <c r="U11" s="458"/>
      <c r="V11" s="458"/>
      <c r="W11" s="458"/>
    </row>
    <row r="12" spans="1:23">
      <c r="A12" s="458"/>
      <c r="B12" s="458"/>
      <c r="C12" s="458"/>
      <c r="D12" s="458"/>
      <c r="E12" s="458"/>
      <c r="F12" s="458"/>
      <c r="G12" s="458"/>
      <c r="H12" s="458"/>
      <c r="I12" s="458"/>
      <c r="J12" s="458"/>
      <c r="K12" s="458"/>
      <c r="L12" s="458"/>
      <c r="M12" s="458"/>
      <c r="N12" s="458"/>
      <c r="O12" s="458"/>
      <c r="P12" s="458"/>
      <c r="Q12" s="458"/>
      <c r="R12" s="458"/>
      <c r="S12" s="458"/>
      <c r="T12" s="458"/>
      <c r="U12" s="458"/>
      <c r="V12" s="458"/>
      <c r="W12" s="458"/>
    </row>
    <row r="13" spans="1:23" ht="15.75" thickBot="1">
      <c r="A13" s="458"/>
      <c r="B13" s="458"/>
      <c r="C13" s="458"/>
      <c r="D13" s="458"/>
      <c r="E13" s="458"/>
      <c r="F13" s="458"/>
      <c r="G13" s="813"/>
      <c r="H13" s="812"/>
      <c r="I13" s="812"/>
      <c r="J13" s="458"/>
      <c r="K13" s="458"/>
      <c r="L13" s="458"/>
      <c r="M13" s="458"/>
      <c r="N13" s="458"/>
      <c r="O13" s="458"/>
      <c r="P13" s="458"/>
      <c r="Q13" s="458"/>
      <c r="R13" s="458"/>
      <c r="S13" s="458"/>
      <c r="T13" s="458"/>
      <c r="U13" s="458"/>
      <c r="V13" s="458"/>
      <c r="W13" s="458"/>
    </row>
    <row r="14" spans="1:23" ht="15.75" thickBot="1">
      <c r="A14" s="471" t="s">
        <v>439</v>
      </c>
      <c r="B14" s="472"/>
      <c r="C14" s="473" t="s">
        <v>440</v>
      </c>
      <c r="D14" s="473" t="s">
        <v>441</v>
      </c>
      <c r="E14" s="473" t="s">
        <v>442</v>
      </c>
      <c r="F14" s="474"/>
      <c r="G14" s="458"/>
      <c r="H14" s="488"/>
      <c r="I14" s="488"/>
      <c r="J14" s="458"/>
      <c r="K14" s="458"/>
      <c r="L14" s="458"/>
      <c r="M14" s="458"/>
      <c r="N14" s="458"/>
      <c r="O14" s="458"/>
      <c r="P14" s="458"/>
      <c r="Q14" s="458"/>
      <c r="R14" s="458"/>
      <c r="S14" s="458"/>
      <c r="T14" s="458"/>
      <c r="U14" s="458"/>
      <c r="V14" s="458"/>
      <c r="W14" s="458"/>
    </row>
    <row r="15" spans="1:23">
      <c r="A15" s="462" t="s">
        <v>443</v>
      </c>
      <c r="B15" s="458"/>
      <c r="C15" s="567">
        <v>10.29</v>
      </c>
      <c r="D15" s="567">
        <v>10.29</v>
      </c>
      <c r="E15" s="568"/>
      <c r="F15" s="569"/>
      <c r="G15" s="476"/>
      <c r="H15" s="458"/>
      <c r="I15" s="458"/>
      <c r="J15" s="458"/>
      <c r="K15" s="458"/>
      <c r="L15" s="458"/>
      <c r="M15" s="458"/>
      <c r="N15" s="458"/>
      <c r="O15" s="458"/>
      <c r="P15" s="458"/>
      <c r="Q15" s="458"/>
      <c r="R15" s="458"/>
      <c r="S15" s="458"/>
      <c r="T15" s="458"/>
      <c r="U15" s="458"/>
      <c r="V15" s="458"/>
      <c r="W15" s="458"/>
    </row>
    <row r="16" spans="1:23">
      <c r="A16" s="462" t="s">
        <v>444</v>
      </c>
      <c r="B16" s="458"/>
      <c r="C16" s="568">
        <v>3978</v>
      </c>
      <c r="D16" s="568">
        <f>70852076/1000000</f>
        <v>70.852075999999997</v>
      </c>
      <c r="E16" s="568"/>
      <c r="F16" s="570"/>
      <c r="G16" s="767"/>
      <c r="H16" s="458"/>
      <c r="I16" s="458"/>
      <c r="J16" s="458"/>
      <c r="K16" s="458"/>
      <c r="L16" s="458"/>
      <c r="M16" s="458"/>
      <c r="N16" s="458"/>
      <c r="O16" s="458"/>
      <c r="P16" s="458"/>
      <c r="Q16" s="458"/>
      <c r="R16" s="458"/>
      <c r="S16" s="458"/>
      <c r="T16" s="458"/>
      <c r="U16" s="458"/>
      <c r="V16" s="458"/>
      <c r="W16" s="458"/>
    </row>
    <row r="17" spans="1:23" ht="15.75" thickBot="1">
      <c r="A17" s="462" t="s">
        <v>445</v>
      </c>
      <c r="B17" s="458"/>
      <c r="C17" s="571">
        <f>4021+I45+G53</f>
        <v>4021</v>
      </c>
      <c r="D17" s="571"/>
      <c r="E17" s="571"/>
      <c r="F17" s="570"/>
      <c r="G17" s="458"/>
      <c r="H17" s="481"/>
      <c r="I17" s="572"/>
      <c r="J17" s="572"/>
      <c r="K17" s="572"/>
      <c r="L17" s="573"/>
      <c r="M17" s="574"/>
      <c r="N17" s="458"/>
      <c r="O17" s="458"/>
      <c r="P17" s="458"/>
      <c r="Q17" s="458"/>
      <c r="R17" s="458"/>
      <c r="S17" s="458"/>
      <c r="T17" s="458"/>
      <c r="U17" s="458"/>
      <c r="V17" s="458"/>
      <c r="W17" s="458"/>
    </row>
    <row r="18" spans="1:23" ht="15.75" thickBot="1">
      <c r="A18" s="462" t="s">
        <v>202</v>
      </c>
      <c r="B18" s="458"/>
      <c r="C18" s="571">
        <f>C15*C17</f>
        <v>41376.089999999997</v>
      </c>
      <c r="D18" s="571">
        <f>D15*D16</f>
        <v>729.06786203999991</v>
      </c>
      <c r="E18" s="571">
        <v>0</v>
      </c>
      <c r="F18" s="575">
        <f>C18+D18+E18</f>
        <v>42105.157862039996</v>
      </c>
      <c r="G18" s="458"/>
      <c r="H18" s="458"/>
      <c r="I18" s="572"/>
      <c r="J18" s="572"/>
      <c r="K18" s="574"/>
      <c r="L18" s="574"/>
      <c r="M18" s="572"/>
      <c r="N18" s="458"/>
      <c r="O18" s="458"/>
      <c r="P18" s="458"/>
      <c r="Q18" s="458"/>
      <c r="R18" s="458"/>
      <c r="S18" s="458"/>
      <c r="T18" s="458"/>
      <c r="U18" s="458"/>
      <c r="V18" s="458"/>
      <c r="W18" s="458"/>
    </row>
    <row r="19" spans="1:23">
      <c r="A19" s="462" t="s">
        <v>446</v>
      </c>
      <c r="B19" s="458"/>
      <c r="C19" s="576"/>
      <c r="D19" s="577"/>
      <c r="E19" s="577"/>
      <c r="F19" s="578">
        <v>23</v>
      </c>
      <c r="G19" s="458"/>
      <c r="H19" s="481"/>
      <c r="I19" s="572"/>
      <c r="J19" s="572"/>
      <c r="K19" s="574"/>
      <c r="L19" s="574"/>
      <c r="M19" s="572"/>
      <c r="N19" s="458"/>
      <c r="O19" s="458"/>
      <c r="P19" s="458"/>
      <c r="Q19" s="458"/>
      <c r="R19" s="458"/>
      <c r="S19" s="458"/>
      <c r="T19" s="458"/>
      <c r="U19" s="458"/>
      <c r="V19" s="458"/>
      <c r="W19" s="458"/>
    </row>
    <row r="20" spans="1:23">
      <c r="A20" s="483" t="s">
        <v>447</v>
      </c>
      <c r="B20" s="458"/>
      <c r="C20" s="576"/>
      <c r="D20" s="577"/>
      <c r="E20" s="577"/>
      <c r="F20" s="579">
        <f>E21+E22</f>
        <v>0</v>
      </c>
      <c r="G20" s="458"/>
      <c r="H20" s="481"/>
      <c r="I20" s="572"/>
      <c r="J20" s="572"/>
      <c r="K20" s="574"/>
      <c r="L20" s="574"/>
      <c r="M20" s="572"/>
      <c r="N20" s="458"/>
      <c r="O20" s="458"/>
      <c r="P20" s="458"/>
      <c r="Q20" s="458"/>
      <c r="R20" s="458"/>
      <c r="S20" s="458"/>
      <c r="T20" s="458"/>
      <c r="U20" s="458"/>
      <c r="V20" s="458"/>
      <c r="W20" s="458"/>
    </row>
    <row r="21" spans="1:23" ht="15.75" customHeight="1">
      <c r="A21" s="462"/>
      <c r="B21" s="458" t="s">
        <v>448</v>
      </c>
      <c r="C21" s="458"/>
      <c r="D21" s="458"/>
      <c r="E21" s="580">
        <v>0</v>
      </c>
      <c r="F21" s="581"/>
      <c r="G21" s="576"/>
      <c r="H21" s="576"/>
      <c r="I21" s="572"/>
      <c r="J21" s="572"/>
      <c r="O21" s="458"/>
      <c r="P21" s="458"/>
      <c r="Q21" s="458"/>
      <c r="R21" s="458"/>
      <c r="S21" s="458"/>
      <c r="T21" s="458"/>
      <c r="U21" s="458"/>
      <c r="V21" s="458"/>
      <c r="W21" s="458"/>
    </row>
    <row r="22" spans="1:23" ht="15.75" customHeight="1">
      <c r="A22" s="462"/>
      <c r="B22" s="486" t="s">
        <v>449</v>
      </c>
      <c r="C22" s="458"/>
      <c r="D22" s="458"/>
      <c r="E22" s="582">
        <v>0</v>
      </c>
      <c r="F22" s="581"/>
      <c r="G22" s="576"/>
      <c r="H22" s="576"/>
      <c r="I22" s="572"/>
      <c r="J22" s="572"/>
      <c r="K22" s="576"/>
      <c r="L22" s="576"/>
      <c r="M22" s="576"/>
      <c r="N22" s="576"/>
      <c r="O22" s="458"/>
      <c r="P22" s="458"/>
      <c r="Q22" s="458"/>
      <c r="R22" s="458"/>
      <c r="S22" s="458"/>
      <c r="T22" s="458"/>
      <c r="U22" s="458"/>
      <c r="V22" s="458"/>
      <c r="W22" s="458"/>
    </row>
    <row r="23" spans="1:23" ht="15.75" customHeight="1">
      <c r="A23" s="483" t="s">
        <v>450</v>
      </c>
      <c r="B23" s="458"/>
      <c r="C23" s="458"/>
      <c r="D23" s="458"/>
      <c r="E23" s="577"/>
      <c r="F23" s="583">
        <f>E24+E25</f>
        <v>160822</v>
      </c>
      <c r="G23" s="576"/>
      <c r="H23" s="681" t="s">
        <v>511</v>
      </c>
      <c r="I23" s="682">
        <v>4.4999999999999998E-2</v>
      </c>
      <c r="J23" s="576"/>
      <c r="K23" s="576"/>
      <c r="L23" s="576"/>
      <c r="M23" s="576"/>
      <c r="N23" s="576"/>
      <c r="O23" s="458"/>
      <c r="P23" s="458"/>
      <c r="Q23" s="458"/>
      <c r="R23" s="458"/>
      <c r="S23" s="458"/>
      <c r="T23" s="458"/>
      <c r="U23" s="458"/>
      <c r="V23" s="458"/>
      <c r="W23" s="458"/>
    </row>
    <row r="24" spans="1:23" ht="15" customHeight="1">
      <c r="A24" s="462"/>
      <c r="B24" s="486" t="s">
        <v>451</v>
      </c>
      <c r="C24" s="486"/>
      <c r="D24" s="458"/>
      <c r="E24" s="584">
        <f>(20654+137868)</f>
        <v>158522</v>
      </c>
      <c r="F24" s="581"/>
      <c r="G24" s="576"/>
      <c r="H24" s="683">
        <v>45741</v>
      </c>
      <c r="I24" s="684">
        <v>0</v>
      </c>
      <c r="J24" s="586"/>
      <c r="K24" s="576"/>
      <c r="L24" s="576"/>
      <c r="M24" s="576"/>
      <c r="N24" s="576"/>
      <c r="O24" s="458"/>
      <c r="P24" s="458"/>
      <c r="Q24" s="458"/>
      <c r="R24" s="458"/>
      <c r="S24" s="458"/>
      <c r="T24" s="458"/>
      <c r="U24" s="458"/>
      <c r="V24" s="458"/>
      <c r="W24" s="458"/>
    </row>
    <row r="25" spans="1:23" ht="15" customHeight="1">
      <c r="A25" s="462"/>
      <c r="B25" s="486" t="s">
        <v>452</v>
      </c>
      <c r="C25" s="486"/>
      <c r="D25" s="458"/>
      <c r="E25" s="582">
        <v>2300</v>
      </c>
      <c r="F25" s="581"/>
      <c r="G25" s="576"/>
      <c r="H25" s="683">
        <v>46022</v>
      </c>
      <c r="I25" s="684">
        <f>639+12</f>
        <v>651</v>
      </c>
      <c r="J25" s="576"/>
      <c r="K25" s="576"/>
      <c r="L25" s="576"/>
      <c r="M25" s="576"/>
      <c r="N25" s="576"/>
      <c r="O25" s="458"/>
      <c r="P25" s="458"/>
      <c r="Q25" s="458"/>
      <c r="R25" s="458"/>
      <c r="S25" s="458"/>
      <c r="T25" s="458"/>
      <c r="U25" s="458"/>
      <c r="V25" s="458"/>
      <c r="W25" s="458"/>
    </row>
    <row r="26" spans="1:23" ht="15.75" customHeight="1">
      <c r="A26" s="483" t="s">
        <v>453</v>
      </c>
      <c r="B26" s="488"/>
      <c r="C26" s="458"/>
      <c r="D26" s="458"/>
      <c r="E26" s="577"/>
      <c r="F26" s="581"/>
      <c r="G26" s="576"/>
      <c r="H26" s="683">
        <v>46387</v>
      </c>
      <c r="I26" s="684">
        <v>551</v>
      </c>
      <c r="J26" s="576"/>
      <c r="K26" s="576"/>
      <c r="L26" s="576"/>
      <c r="M26" s="576"/>
      <c r="N26" s="576"/>
      <c r="O26" s="458"/>
      <c r="P26" s="458"/>
      <c r="Q26" s="458"/>
      <c r="R26" s="458"/>
      <c r="S26" s="458"/>
      <c r="T26" s="458"/>
      <c r="U26" s="458"/>
      <c r="V26" s="458"/>
      <c r="W26" s="458"/>
    </row>
    <row r="27" spans="1:23" ht="15" customHeight="1">
      <c r="A27" s="462"/>
      <c r="B27" s="458" t="s">
        <v>454</v>
      </c>
      <c r="C27" s="458"/>
      <c r="D27" s="458"/>
      <c r="E27" s="577"/>
      <c r="F27" s="578">
        <v>-3900</v>
      </c>
      <c r="H27" s="683">
        <v>46752</v>
      </c>
      <c r="I27" s="684">
        <v>436</v>
      </c>
      <c r="J27" s="576"/>
      <c r="K27" s="576"/>
      <c r="L27" s="576"/>
      <c r="M27" s="576"/>
      <c r="N27" s="576"/>
      <c r="O27" s="458"/>
      <c r="P27" s="458"/>
      <c r="Q27" s="458"/>
      <c r="R27" s="458"/>
      <c r="S27" s="458"/>
      <c r="T27" s="458"/>
      <c r="U27" s="458"/>
      <c r="V27" s="458"/>
      <c r="W27" s="458"/>
    </row>
    <row r="28" spans="1:23" ht="15.75" customHeight="1">
      <c r="A28" s="462"/>
      <c r="B28" s="458" t="s">
        <v>505</v>
      </c>
      <c r="C28" s="458"/>
      <c r="D28" s="458"/>
      <c r="E28" s="576"/>
      <c r="F28" s="587">
        <f>I31</f>
        <v>2350.1799893345496</v>
      </c>
      <c r="G28" s="576"/>
      <c r="H28" s="683">
        <v>47118</v>
      </c>
      <c r="I28" s="684">
        <v>312</v>
      </c>
      <c r="J28" s="576"/>
      <c r="K28" s="576"/>
      <c r="L28" s="576"/>
      <c r="M28" s="576"/>
      <c r="N28" s="576"/>
      <c r="O28" s="458"/>
      <c r="P28" s="458"/>
      <c r="Q28" s="458"/>
      <c r="R28" s="458"/>
      <c r="S28" s="458"/>
      <c r="T28" s="458"/>
      <c r="U28" s="458"/>
      <c r="V28" s="458"/>
      <c r="W28" s="458"/>
    </row>
    <row r="29" spans="1:23" ht="15.75" customHeight="1" thickBot="1">
      <c r="A29" s="483" t="s">
        <v>455</v>
      </c>
      <c r="B29" s="458"/>
      <c r="C29" s="458"/>
      <c r="D29" s="458"/>
      <c r="E29" s="577"/>
      <c r="F29" s="578">
        <f>22935+15413</f>
        <v>38348</v>
      </c>
      <c r="G29" s="576"/>
      <c r="H29" s="683">
        <v>47483</v>
      </c>
      <c r="I29" s="684">
        <v>205</v>
      </c>
      <c r="J29" s="576"/>
      <c r="K29" s="576"/>
      <c r="L29" s="576"/>
      <c r="M29" s="576"/>
      <c r="N29" s="576"/>
      <c r="O29" s="458"/>
      <c r="P29" s="458"/>
      <c r="Q29" s="458"/>
      <c r="R29" s="458"/>
      <c r="S29" s="458"/>
      <c r="T29" s="458"/>
      <c r="U29" s="458"/>
      <c r="V29" s="458"/>
      <c r="W29" s="458"/>
    </row>
    <row r="30" spans="1:23" ht="15.75" customHeight="1" thickBot="1">
      <c r="A30" s="489" t="s">
        <v>456</v>
      </c>
      <c r="B30" s="490"/>
      <c r="C30" s="490"/>
      <c r="D30" s="491"/>
      <c r="E30" s="588"/>
      <c r="F30" s="480">
        <f>F18+F19+F20+F23+F27+F28-F29</f>
        <v>163052.33785137453</v>
      </c>
      <c r="G30" s="576"/>
      <c r="H30" s="685">
        <v>47848</v>
      </c>
      <c r="I30" s="684">
        <v>509</v>
      </c>
      <c r="J30" s="576"/>
      <c r="K30" s="576"/>
      <c r="L30" s="576"/>
      <c r="M30" s="576"/>
      <c r="N30" s="576"/>
      <c r="O30" s="458"/>
      <c r="P30" s="458"/>
      <c r="Q30" s="458"/>
      <c r="R30" s="458"/>
      <c r="S30" s="458"/>
      <c r="T30" s="458"/>
      <c r="U30" s="458"/>
      <c r="V30" s="458"/>
      <c r="W30" s="458"/>
    </row>
    <row r="31" spans="1:23" ht="15.75" customHeight="1" thickBot="1">
      <c r="A31" s="493" t="s">
        <v>458</v>
      </c>
      <c r="B31" s="494"/>
      <c r="C31" s="494"/>
      <c r="D31" s="495"/>
      <c r="E31" s="589"/>
      <c r="F31" s="578">
        <v>5548</v>
      </c>
      <c r="G31" s="576"/>
      <c r="H31" s="686" t="s">
        <v>457</v>
      </c>
      <c r="I31" s="687">
        <f>XNPV(I23,I24:I30,H24:H30)</f>
        <v>2350.1799893345496</v>
      </c>
      <c r="J31" s="576"/>
      <c r="K31" s="576"/>
      <c r="L31" s="576"/>
      <c r="M31" s="576"/>
      <c r="N31" s="576"/>
      <c r="O31" s="458"/>
      <c r="P31" s="458"/>
      <c r="Q31" s="458"/>
      <c r="R31" s="458"/>
      <c r="S31" s="458"/>
      <c r="T31" s="458"/>
      <c r="U31" s="458"/>
      <c r="V31" s="458"/>
      <c r="W31" s="458"/>
    </row>
    <row r="32" spans="1:23" ht="14.25" customHeight="1" thickBot="1">
      <c r="A32" s="489" t="s">
        <v>306</v>
      </c>
      <c r="B32" s="489"/>
      <c r="C32" s="490"/>
      <c r="D32" s="490"/>
      <c r="E32" s="588"/>
      <c r="F32" s="590">
        <f>F30-F31</f>
        <v>157504.33785137453</v>
      </c>
      <c r="G32" s="576"/>
      <c r="H32" s="576"/>
      <c r="I32" s="577"/>
      <c r="J32" s="576"/>
      <c r="K32" s="576"/>
      <c r="L32" s="576"/>
      <c r="M32" s="576"/>
      <c r="N32" s="576"/>
      <c r="O32" s="458"/>
      <c r="P32" s="458"/>
      <c r="Q32" s="458"/>
      <c r="R32" s="458"/>
      <c r="S32" s="458"/>
      <c r="T32" s="458"/>
      <c r="U32" s="458"/>
      <c r="V32" s="458"/>
      <c r="W32" s="458"/>
    </row>
    <row r="33" spans="1:24" ht="15" customHeight="1" thickBot="1">
      <c r="A33" s="466" t="s">
        <v>459</v>
      </c>
      <c r="B33" s="467"/>
      <c r="C33" s="467"/>
      <c r="D33" s="467"/>
      <c r="E33" s="591"/>
      <c r="F33" s="662">
        <f>C15</f>
        <v>10.29</v>
      </c>
      <c r="G33" s="576"/>
      <c r="H33" s="576"/>
      <c r="I33" s="576"/>
      <c r="J33" s="592"/>
      <c r="K33" s="576"/>
      <c r="L33" s="576"/>
      <c r="M33" s="576"/>
      <c r="N33" s="576"/>
      <c r="O33" s="458"/>
      <c r="P33" s="458"/>
      <c r="Q33" s="458"/>
      <c r="R33" s="458"/>
      <c r="S33" s="458"/>
      <c r="T33" s="458"/>
      <c r="U33" s="458"/>
      <c r="V33" s="458"/>
      <c r="W33" s="458"/>
    </row>
    <row r="34" spans="1:24" ht="15.75" customHeight="1" thickBot="1">
      <c r="A34" s="458"/>
      <c r="B34" s="458"/>
      <c r="C34" s="458"/>
      <c r="D34" s="458"/>
      <c r="E34" s="458"/>
      <c r="F34" s="458"/>
      <c r="G34" s="458"/>
      <c r="H34" s="498"/>
      <c r="I34" s="498"/>
      <c r="J34" s="498"/>
      <c r="K34" s="458"/>
      <c r="L34" s="458"/>
      <c r="M34" s="458"/>
      <c r="N34" s="458"/>
      <c r="O34" s="458"/>
      <c r="P34" s="458"/>
      <c r="Q34" s="458"/>
      <c r="R34" s="458"/>
      <c r="S34" s="458"/>
      <c r="T34" s="458"/>
      <c r="U34" s="458"/>
      <c r="V34" s="458"/>
      <c r="W34" s="458"/>
    </row>
    <row r="35" spans="1:24" ht="15.75" customHeight="1" thickBot="1">
      <c r="A35" s="471" t="s">
        <v>460</v>
      </c>
      <c r="B35" s="472"/>
      <c r="C35" s="499"/>
      <c r="D35" s="499"/>
      <c r="E35" s="499"/>
      <c r="F35" s="499"/>
      <c r="G35" s="499"/>
      <c r="H35" s="499"/>
      <c r="I35" s="458"/>
      <c r="J35" s="458"/>
      <c r="K35" s="458"/>
      <c r="L35" s="458"/>
      <c r="M35" s="458"/>
      <c r="N35" s="458"/>
      <c r="O35" s="458"/>
      <c r="P35" s="458"/>
      <c r="Q35" s="458"/>
      <c r="R35" s="458"/>
      <c r="S35" s="458"/>
      <c r="T35" s="458"/>
      <c r="U35" s="458"/>
      <c r="V35" s="458"/>
      <c r="W35" s="458"/>
    </row>
    <row r="36" spans="1:24" ht="15.75" customHeight="1" thickBot="1">
      <c r="A36" s="458"/>
      <c r="B36" s="458"/>
      <c r="C36" s="458"/>
      <c r="D36" s="458"/>
      <c r="E36" s="458"/>
      <c r="F36" s="458"/>
      <c r="G36" s="458"/>
      <c r="H36" s="498"/>
      <c r="I36" s="498"/>
      <c r="J36" s="498"/>
      <c r="K36" s="498"/>
      <c r="L36" s="458"/>
      <c r="M36" s="458"/>
      <c r="N36" s="458"/>
      <c r="O36" s="458"/>
      <c r="P36" s="458"/>
      <c r="Q36" s="458"/>
      <c r="R36" s="458"/>
      <c r="S36" s="458"/>
      <c r="T36" s="458"/>
      <c r="U36" s="458"/>
      <c r="V36" s="458"/>
      <c r="W36" s="458"/>
    </row>
    <row r="37" spans="1:24" ht="15.75" customHeight="1" thickBot="1">
      <c r="A37" s="458"/>
      <c r="B37" s="500" t="s">
        <v>461</v>
      </c>
      <c r="C37" s="501"/>
      <c r="D37" s="502"/>
      <c r="E37" s="502"/>
      <c r="F37" s="502"/>
      <c r="G37" s="502"/>
      <c r="H37" s="502"/>
      <c r="I37" s="503"/>
      <c r="J37" s="498"/>
      <c r="K37" s="504"/>
      <c r="L37" s="458"/>
      <c r="M37" s="458"/>
      <c r="N37" s="458"/>
      <c r="O37" s="458"/>
      <c r="P37" s="458"/>
      <c r="Q37" s="458"/>
      <c r="R37" s="458"/>
      <c r="S37" s="458"/>
      <c r="T37" s="458"/>
      <c r="U37" s="458"/>
      <c r="V37" s="458"/>
      <c r="W37" s="458"/>
      <c r="X37" s="458"/>
    </row>
    <row r="38" spans="1:24" ht="15.75" customHeight="1">
      <c r="A38" s="458"/>
      <c r="B38" s="506"/>
      <c r="C38" s="814" t="s">
        <v>462</v>
      </c>
      <c r="D38" s="814" t="s">
        <v>463</v>
      </c>
      <c r="E38" s="507"/>
      <c r="F38" s="508" t="s">
        <v>464</v>
      </c>
      <c r="G38" s="509"/>
      <c r="H38" s="509"/>
      <c r="I38" s="510" t="s">
        <v>465</v>
      </c>
      <c r="J38" s="498"/>
      <c r="K38" s="505"/>
      <c r="L38" s="505"/>
      <c r="M38" s="488"/>
      <c r="N38" s="488"/>
      <c r="O38" s="458"/>
      <c r="P38" s="458"/>
      <c r="Q38" s="458"/>
      <c r="R38" s="458"/>
      <c r="S38" s="458"/>
      <c r="T38" s="458"/>
      <c r="U38" s="458"/>
      <c r="V38" s="458"/>
      <c r="W38" s="458"/>
      <c r="X38" s="458"/>
    </row>
    <row r="39" spans="1:24" ht="15.75" customHeight="1">
      <c r="A39" s="458"/>
      <c r="B39" s="511" t="s">
        <v>466</v>
      </c>
      <c r="C39" s="815"/>
      <c r="D39" s="815"/>
      <c r="E39" s="554" t="s">
        <v>467</v>
      </c>
      <c r="F39" s="555" t="s">
        <v>468</v>
      </c>
      <c r="G39" s="488" t="s">
        <v>469</v>
      </c>
      <c r="H39" s="488" t="s">
        <v>470</v>
      </c>
      <c r="I39" s="512" t="s">
        <v>471</v>
      </c>
      <c r="J39" s="498"/>
      <c r="K39" s="513"/>
      <c r="L39" s="505"/>
      <c r="M39" s="505"/>
      <c r="N39" s="458"/>
      <c r="O39" s="458"/>
      <c r="P39" s="458"/>
      <c r="Q39" s="458"/>
      <c r="R39" s="458"/>
      <c r="S39" s="458"/>
      <c r="T39" s="458"/>
      <c r="U39" s="458"/>
      <c r="V39" s="458"/>
      <c r="W39" s="458"/>
      <c r="X39" s="458"/>
    </row>
    <row r="40" spans="1:24" ht="15.75" customHeight="1">
      <c r="A40" s="458"/>
      <c r="B40" s="593" t="s">
        <v>512</v>
      </c>
      <c r="C40" s="594">
        <v>0</v>
      </c>
      <c r="D40" s="595">
        <v>0</v>
      </c>
      <c r="E40" s="596">
        <v>0</v>
      </c>
      <c r="F40" s="597">
        <v>0</v>
      </c>
      <c r="G40" s="598">
        <v>0</v>
      </c>
      <c r="H40" s="597">
        <v>0</v>
      </c>
      <c r="I40" s="599">
        <v>0</v>
      </c>
      <c r="J40" s="498"/>
      <c r="K40" s="514"/>
      <c r="L40" s="514"/>
      <c r="M40" s="481"/>
      <c r="N40" s="514"/>
      <c r="O40" s="458"/>
      <c r="P40" s="458"/>
      <c r="Q40" s="458"/>
      <c r="R40" s="458"/>
      <c r="S40" s="458"/>
      <c r="T40" s="458"/>
      <c r="U40" s="458"/>
      <c r="V40" s="458"/>
      <c r="W40" s="458"/>
      <c r="X40" s="458"/>
    </row>
    <row r="41" spans="1:24" ht="15.75" customHeight="1">
      <c r="A41" s="458"/>
      <c r="B41" s="593" t="s">
        <v>473</v>
      </c>
      <c r="C41" s="594">
        <v>95.7</v>
      </c>
      <c r="D41" s="595">
        <v>13.44</v>
      </c>
      <c r="E41" s="558" t="str">
        <f>IF(D41&lt;F34,"YES","NO")</f>
        <v>NO</v>
      </c>
      <c r="F41" s="559">
        <f>IF(E41="YES",C41,0)</f>
        <v>0</v>
      </c>
      <c r="G41" s="598">
        <v>0</v>
      </c>
      <c r="H41" s="597">
        <v>0</v>
      </c>
      <c r="I41" s="600">
        <v>0</v>
      </c>
      <c r="J41" s="498"/>
      <c r="K41" s="514"/>
      <c r="L41" s="514"/>
      <c r="M41" s="481"/>
      <c r="N41" s="514"/>
      <c r="O41" s="458"/>
      <c r="P41" s="458"/>
      <c r="Q41" s="458"/>
      <c r="R41" s="458"/>
      <c r="S41" s="458"/>
      <c r="T41" s="458"/>
      <c r="U41" s="458"/>
      <c r="V41" s="458"/>
      <c r="W41" s="458"/>
      <c r="X41" s="458"/>
    </row>
    <row r="42" spans="1:24" ht="15.75" customHeight="1">
      <c r="A42" s="458"/>
      <c r="B42" s="593" t="s">
        <v>513</v>
      </c>
      <c r="C42" s="594">
        <v>0</v>
      </c>
      <c r="D42" s="595">
        <v>0</v>
      </c>
      <c r="E42" s="596">
        <v>0</v>
      </c>
      <c r="F42" s="597">
        <v>0</v>
      </c>
      <c r="G42" s="598">
        <v>0</v>
      </c>
      <c r="H42" s="597">
        <v>0</v>
      </c>
      <c r="I42" s="600">
        <v>0</v>
      </c>
      <c r="J42" s="498"/>
      <c r="K42" s="514"/>
      <c r="L42" s="514"/>
      <c r="M42" s="481"/>
      <c r="N42" s="514"/>
      <c r="O42" s="458"/>
      <c r="P42" s="458"/>
      <c r="Q42" s="458"/>
      <c r="R42" s="458"/>
      <c r="S42" s="458"/>
      <c r="T42" s="458"/>
      <c r="U42" s="458"/>
      <c r="V42" s="458"/>
      <c r="W42" s="458"/>
      <c r="X42" s="458"/>
    </row>
    <row r="43" spans="1:24" ht="15.75" customHeight="1">
      <c r="A43" s="458"/>
      <c r="B43" s="593"/>
      <c r="C43" s="601"/>
      <c r="D43" s="595"/>
      <c r="E43" s="596"/>
      <c r="F43" s="597"/>
      <c r="G43" s="598"/>
      <c r="H43" s="597"/>
      <c r="I43" s="600"/>
      <c r="J43" s="498"/>
      <c r="K43" s="514"/>
      <c r="L43" s="514"/>
      <c r="M43" s="481"/>
      <c r="N43" s="514"/>
      <c r="O43" s="458"/>
      <c r="P43" s="458"/>
      <c r="Q43" s="458"/>
      <c r="R43" s="458"/>
      <c r="S43" s="458"/>
      <c r="T43" s="458"/>
      <c r="U43" s="458"/>
      <c r="V43" s="458"/>
      <c r="W43" s="458"/>
      <c r="X43" s="458"/>
    </row>
    <row r="44" spans="1:24" ht="15.75" customHeight="1">
      <c r="A44" s="458"/>
      <c r="B44" s="593"/>
      <c r="C44" s="601"/>
      <c r="D44" s="595"/>
      <c r="E44" s="596"/>
      <c r="F44" s="597"/>
      <c r="G44" s="598"/>
      <c r="H44" s="597"/>
      <c r="I44" s="600"/>
      <c r="J44" s="498"/>
      <c r="K44" s="514"/>
      <c r="L44" s="514"/>
      <c r="M44" s="481"/>
      <c r="N44" s="514"/>
      <c r="O44" s="458"/>
      <c r="P44" s="458"/>
      <c r="Q44" s="458"/>
      <c r="R44" s="458"/>
      <c r="S44" s="458"/>
      <c r="T44" s="458"/>
      <c r="U44" s="458"/>
      <c r="V44" s="458"/>
      <c r="W44" s="458"/>
      <c r="X44" s="458"/>
    </row>
    <row r="45" spans="1:24" ht="15.75" customHeight="1" thickBot="1">
      <c r="A45" s="458"/>
      <c r="B45" s="517"/>
      <c r="C45" s="602"/>
      <c r="D45" s="602"/>
      <c r="E45" s="602"/>
      <c r="F45" s="602"/>
      <c r="G45" s="602"/>
      <c r="H45" s="603"/>
      <c r="I45" s="604">
        <f>SUM(I40:I42)</f>
        <v>0</v>
      </c>
      <c r="J45" s="498"/>
      <c r="K45" s="458"/>
      <c r="L45" s="458"/>
      <c r="M45" s="458"/>
      <c r="N45" s="458"/>
      <c r="O45" s="458"/>
      <c r="P45" s="458"/>
      <c r="Q45" s="458"/>
      <c r="R45" s="458"/>
      <c r="S45" s="458"/>
      <c r="T45" s="458"/>
      <c r="U45" s="458"/>
      <c r="V45" s="458"/>
      <c r="W45" s="458"/>
      <c r="X45" s="458"/>
    </row>
    <row r="46" spans="1:24" ht="15.75" customHeight="1" thickBot="1">
      <c r="A46" s="458"/>
      <c r="B46" s="458"/>
      <c r="C46" s="458"/>
      <c r="D46" s="458"/>
      <c r="E46" s="458"/>
      <c r="F46" s="458"/>
      <c r="G46" s="458"/>
      <c r="H46" s="498"/>
      <c r="I46" s="498"/>
      <c r="J46" s="498"/>
      <c r="K46" s="498"/>
      <c r="L46" s="458"/>
      <c r="M46" s="458"/>
      <c r="N46" s="458"/>
      <c r="O46" s="458"/>
      <c r="P46" s="458"/>
      <c r="Q46" s="458"/>
      <c r="R46" s="458"/>
      <c r="S46" s="458"/>
      <c r="T46" s="458"/>
      <c r="U46" s="458"/>
      <c r="V46" s="458"/>
      <c r="W46" s="458"/>
    </row>
    <row r="47" spans="1:24" ht="15.75" customHeight="1" thickBot="1">
      <c r="A47" s="458"/>
      <c r="B47" s="521" t="s">
        <v>475</v>
      </c>
      <c r="C47" s="522"/>
      <c r="D47" s="522"/>
      <c r="E47" s="522"/>
      <c r="F47" s="522"/>
      <c r="G47" s="523"/>
      <c r="H47" s="498"/>
      <c r="I47" s="498"/>
      <c r="J47" s="458"/>
      <c r="K47" s="458"/>
      <c r="L47" s="458"/>
      <c r="M47" s="458"/>
      <c r="N47" s="458"/>
      <c r="O47" s="458"/>
      <c r="P47" s="458"/>
      <c r="Q47" s="458"/>
      <c r="R47" s="458"/>
      <c r="S47" s="458"/>
      <c r="T47" s="458"/>
      <c r="U47" s="458"/>
      <c r="V47" s="458"/>
      <c r="W47" s="458"/>
    </row>
    <row r="48" spans="1:24" ht="15.75" customHeight="1">
      <c r="A48" s="458"/>
      <c r="B48" s="524"/>
      <c r="C48" s="525"/>
      <c r="D48" s="525"/>
      <c r="E48" s="816" t="s">
        <v>476</v>
      </c>
      <c r="F48" s="526"/>
      <c r="G48" s="817" t="s">
        <v>477</v>
      </c>
      <c r="H48" s="498"/>
      <c r="I48" s="498"/>
      <c r="J48" s="486"/>
      <c r="K48" s="486"/>
      <c r="L48" s="458"/>
      <c r="M48" s="811"/>
      <c r="N48" s="458"/>
      <c r="O48" s="458"/>
      <c r="P48" s="458"/>
      <c r="Q48" s="458"/>
      <c r="R48" s="458"/>
      <c r="S48" s="458"/>
      <c r="T48" s="458"/>
      <c r="U48" s="458"/>
      <c r="V48" s="458"/>
      <c r="W48" s="458"/>
    </row>
    <row r="49" spans="1:23" ht="15.75" customHeight="1">
      <c r="A49" s="458"/>
      <c r="B49" s="528" t="s">
        <v>478</v>
      </c>
      <c r="C49" s="529" t="s">
        <v>479</v>
      </c>
      <c r="D49" s="529" t="s">
        <v>480</v>
      </c>
      <c r="E49" s="812"/>
      <c r="F49" s="527" t="s">
        <v>481</v>
      </c>
      <c r="G49" s="818"/>
      <c r="H49" s="498"/>
      <c r="I49" s="498"/>
      <c r="J49" s="486"/>
      <c r="K49" s="529"/>
      <c r="L49" s="527"/>
      <c r="M49" s="812"/>
      <c r="N49" s="458"/>
      <c r="O49" s="458"/>
      <c r="P49" s="458"/>
      <c r="Q49" s="458"/>
      <c r="R49" s="458"/>
      <c r="S49" s="458"/>
      <c r="T49" s="458"/>
      <c r="U49" s="458"/>
      <c r="V49" s="458"/>
      <c r="W49" s="458"/>
    </row>
    <row r="50" spans="1:23" ht="15.75" customHeight="1">
      <c r="A50" s="458"/>
      <c r="B50" s="531"/>
      <c r="C50" s="545"/>
      <c r="D50" s="545"/>
      <c r="E50" s="561"/>
      <c r="F50" s="562"/>
      <c r="G50" s="532"/>
      <c r="H50" s="498"/>
      <c r="I50" s="498"/>
      <c r="J50" s="458"/>
      <c r="K50" s="481"/>
      <c r="L50" s="530"/>
      <c r="M50" s="530"/>
      <c r="N50" s="458"/>
      <c r="O50" s="458"/>
      <c r="P50" s="458"/>
      <c r="Q50" s="458"/>
      <c r="R50" s="458"/>
      <c r="S50" s="458"/>
      <c r="T50" s="458"/>
      <c r="U50" s="458"/>
      <c r="V50" s="458"/>
      <c r="W50" s="458"/>
    </row>
    <row r="51" spans="1:23" ht="15.75" customHeight="1">
      <c r="A51" s="458"/>
      <c r="B51" s="531"/>
      <c r="C51" s="545"/>
      <c r="D51" s="545"/>
      <c r="E51" s="561"/>
      <c r="F51" s="562"/>
      <c r="G51" s="532"/>
      <c r="H51" s="498"/>
      <c r="I51" s="498"/>
      <c r="J51" s="458"/>
      <c r="K51" s="481"/>
      <c r="L51" s="530"/>
      <c r="M51" s="530"/>
      <c r="N51" s="458"/>
      <c r="O51" s="458"/>
      <c r="P51" s="458"/>
      <c r="Q51" s="458"/>
      <c r="R51" s="458"/>
      <c r="S51" s="458"/>
      <c r="T51" s="458"/>
      <c r="U51" s="458"/>
      <c r="V51" s="458"/>
      <c r="W51" s="458"/>
    </row>
    <row r="52" spans="1:23" ht="15.75" customHeight="1">
      <c r="A52" s="458"/>
      <c r="B52" s="531"/>
      <c r="C52" s="545"/>
      <c r="D52" s="545"/>
      <c r="E52" s="561"/>
      <c r="F52" s="562"/>
      <c r="G52" s="532"/>
      <c r="H52" s="498"/>
      <c r="I52" s="498"/>
      <c r="J52" s="458"/>
      <c r="K52" s="481"/>
      <c r="L52" s="530"/>
      <c r="M52" s="530"/>
      <c r="N52" s="458"/>
      <c r="O52" s="458"/>
      <c r="P52" s="458"/>
      <c r="Q52" s="458"/>
      <c r="R52" s="458"/>
      <c r="S52" s="458"/>
      <c r="T52" s="458"/>
      <c r="U52" s="458"/>
      <c r="V52" s="458"/>
      <c r="W52" s="458"/>
    </row>
    <row r="53" spans="1:23" ht="15.75" customHeight="1" thickBot="1">
      <c r="A53" s="458"/>
      <c r="B53" s="533"/>
      <c r="C53" s="534"/>
      <c r="D53" s="534"/>
      <c r="E53" s="534"/>
      <c r="F53" s="519" t="s">
        <v>474</v>
      </c>
      <c r="G53" s="535"/>
      <c r="H53" s="498"/>
      <c r="I53" s="498"/>
      <c r="J53" s="458"/>
      <c r="K53" s="481"/>
      <c r="L53" s="530"/>
      <c r="M53" s="530"/>
      <c r="N53" s="458"/>
      <c r="O53" s="458"/>
      <c r="P53" s="458"/>
      <c r="Q53" s="458"/>
      <c r="R53" s="458"/>
      <c r="S53" s="458"/>
      <c r="T53" s="458"/>
      <c r="U53" s="458"/>
      <c r="V53" s="458"/>
      <c r="W53" s="458"/>
    </row>
    <row r="54" spans="1:23" ht="15.75" customHeight="1">
      <c r="A54" s="458"/>
      <c r="B54" s="458"/>
      <c r="C54" s="458"/>
      <c r="D54" s="458"/>
      <c r="E54" s="458"/>
      <c r="F54" s="458"/>
      <c r="G54" s="458"/>
      <c r="H54" s="498"/>
      <c r="I54" s="498"/>
      <c r="J54" s="458"/>
      <c r="K54" s="458"/>
      <c r="L54" s="458"/>
      <c r="M54" s="458"/>
      <c r="N54" s="458"/>
      <c r="O54" s="458"/>
      <c r="P54" s="458"/>
      <c r="Q54" s="458"/>
      <c r="R54" s="458"/>
      <c r="S54" s="458"/>
      <c r="T54" s="458"/>
      <c r="U54" s="458"/>
      <c r="V54" s="458"/>
      <c r="W54" s="458"/>
    </row>
    <row r="55" spans="1:23" ht="15.75" customHeight="1">
      <c r="A55" s="458"/>
      <c r="B55" s="458"/>
      <c r="C55" s="458"/>
      <c r="D55" s="458"/>
      <c r="E55" s="458"/>
      <c r="F55" s="458"/>
      <c r="G55" s="458"/>
      <c r="H55" s="498"/>
      <c r="I55" s="498"/>
      <c r="J55" s="498"/>
      <c r="K55" s="498"/>
      <c r="L55" s="458"/>
      <c r="M55" s="458"/>
      <c r="N55" s="458"/>
      <c r="O55" s="458"/>
      <c r="P55" s="458"/>
      <c r="Q55" s="458"/>
      <c r="R55" s="458"/>
      <c r="S55" s="458"/>
      <c r="T55" s="458"/>
      <c r="U55" s="458"/>
      <c r="V55" s="458"/>
      <c r="W55" s="458"/>
    </row>
    <row r="56" spans="1:23" ht="15.75" customHeight="1">
      <c r="A56" s="458"/>
      <c r="B56" s="458"/>
      <c r="C56" s="458"/>
      <c r="D56" s="458"/>
      <c r="E56" s="458"/>
      <c r="F56" s="458"/>
      <c r="G56" s="458"/>
      <c r="H56" s="498"/>
      <c r="I56" s="498"/>
      <c r="J56" s="498"/>
      <c r="K56" s="498"/>
      <c r="L56" s="458"/>
      <c r="M56" s="458"/>
      <c r="N56" s="458"/>
      <c r="O56" s="458"/>
      <c r="P56" s="458"/>
      <c r="Q56" s="458"/>
      <c r="R56" s="458"/>
      <c r="S56" s="458"/>
      <c r="T56" s="458"/>
      <c r="U56" s="458"/>
      <c r="V56" s="458"/>
      <c r="W56" s="458"/>
    </row>
    <row r="57" spans="1:23" ht="15.75" customHeight="1">
      <c r="A57" s="537" t="s">
        <v>484</v>
      </c>
      <c r="B57" s="537"/>
      <c r="C57" s="537"/>
      <c r="D57" s="537"/>
      <c r="E57" s="537"/>
      <c r="F57" s="537"/>
      <c r="G57" s="537"/>
      <c r="H57" s="538" t="s">
        <v>485</v>
      </c>
      <c r="I57" s="538" t="s">
        <v>486</v>
      </c>
      <c r="J57" s="538" t="s">
        <v>487</v>
      </c>
      <c r="K57" s="538" t="s">
        <v>488</v>
      </c>
      <c r="L57" s="538" t="s">
        <v>482</v>
      </c>
      <c r="M57" s="538" t="s">
        <v>483</v>
      </c>
      <c r="N57" s="538" t="s">
        <v>489</v>
      </c>
      <c r="O57" s="458"/>
      <c r="P57" s="458"/>
      <c r="Q57" s="458"/>
      <c r="R57" s="458"/>
      <c r="S57" s="458"/>
      <c r="T57" s="458"/>
      <c r="U57" s="458"/>
      <c r="V57" s="458"/>
      <c r="W57" s="458"/>
    </row>
    <row r="58" spans="1:23" ht="15.75" customHeight="1" thickBot="1">
      <c r="A58" s="458"/>
      <c r="B58" s="458"/>
      <c r="C58" s="458"/>
      <c r="D58" s="458"/>
      <c r="E58" s="458"/>
      <c r="F58" s="458"/>
      <c r="G58" s="458" t="s">
        <v>490</v>
      </c>
      <c r="H58" s="605">
        <v>45320</v>
      </c>
      <c r="I58" s="605">
        <v>45626</v>
      </c>
      <c r="J58" s="585">
        <v>45260</v>
      </c>
      <c r="K58" s="576"/>
      <c r="L58" s="585"/>
      <c r="M58" s="585"/>
      <c r="N58" s="576"/>
      <c r="O58" s="458"/>
      <c r="P58" s="458"/>
      <c r="Q58" s="458"/>
      <c r="R58" s="458"/>
      <c r="S58" s="458"/>
      <c r="T58" s="458"/>
      <c r="U58" s="458"/>
      <c r="V58" s="458"/>
      <c r="W58" s="458"/>
    </row>
    <row r="59" spans="1:23" ht="15.75" customHeight="1" thickBot="1">
      <c r="A59" s="458" t="s">
        <v>491</v>
      </c>
      <c r="B59" s="458"/>
      <c r="C59" s="458"/>
      <c r="D59" s="458"/>
      <c r="E59" s="458"/>
      <c r="F59" s="458"/>
      <c r="G59" s="458"/>
      <c r="H59" s="606">
        <v>184992</v>
      </c>
      <c r="I59" s="545">
        <v>0</v>
      </c>
      <c r="J59" s="564">
        <v>0</v>
      </c>
      <c r="K59" s="480">
        <f>H59+I59-J59</f>
        <v>184992</v>
      </c>
      <c r="L59" s="607">
        <v>169477</v>
      </c>
      <c r="M59" s="607">
        <v>172140</v>
      </c>
      <c r="N59" s="540">
        <f>(M59/K59)^(1/2)-1</f>
        <v>-3.5361868118401252E-2</v>
      </c>
      <c r="O59" s="458"/>
      <c r="P59" s="458"/>
      <c r="Q59" s="458"/>
      <c r="R59" s="458"/>
      <c r="S59" s="458"/>
      <c r="T59" s="458"/>
      <c r="U59" s="458"/>
      <c r="V59" s="458"/>
      <c r="W59" s="458"/>
    </row>
    <row r="60" spans="1:23" ht="4.5" customHeight="1" thickBot="1">
      <c r="A60" s="458"/>
      <c r="B60" s="458"/>
      <c r="C60" s="458"/>
      <c r="D60" s="458"/>
      <c r="E60" s="458"/>
      <c r="F60" s="458"/>
      <c r="G60" s="458"/>
      <c r="H60" s="577"/>
      <c r="I60" s="481"/>
      <c r="J60" s="481"/>
      <c r="K60" s="481"/>
      <c r="L60" s="576"/>
      <c r="M60" s="576"/>
      <c r="N60" s="576"/>
      <c r="O60" s="458"/>
      <c r="P60" s="458"/>
      <c r="Q60" s="458"/>
      <c r="R60" s="458"/>
      <c r="S60" s="458"/>
      <c r="T60" s="458"/>
      <c r="U60" s="458"/>
      <c r="V60" s="458"/>
      <c r="W60" s="458"/>
    </row>
    <row r="61" spans="1:23" ht="15.75" customHeight="1" thickBot="1">
      <c r="A61" s="458" t="s">
        <v>492</v>
      </c>
      <c r="B61" s="458"/>
      <c r="C61" s="458"/>
      <c r="D61" s="458"/>
      <c r="E61" s="458"/>
      <c r="F61" s="458"/>
      <c r="G61" s="458"/>
      <c r="H61" s="606">
        <v>5219</v>
      </c>
      <c r="I61" s="545">
        <v>0</v>
      </c>
      <c r="J61" s="545">
        <v>0</v>
      </c>
      <c r="K61" s="480">
        <f>H61+I61-J61</f>
        <v>5219</v>
      </c>
      <c r="L61" s="576"/>
      <c r="M61" s="576"/>
      <c r="N61" s="576"/>
      <c r="O61" s="458"/>
      <c r="P61" s="458"/>
      <c r="Q61" s="458"/>
      <c r="R61" s="458"/>
      <c r="S61" s="458"/>
      <c r="T61" s="458"/>
      <c r="U61" s="458"/>
      <c r="V61" s="458"/>
      <c r="W61" s="458"/>
    </row>
    <row r="62" spans="1:23" ht="15.75" customHeight="1" thickBot="1">
      <c r="A62" s="458" t="s">
        <v>493</v>
      </c>
      <c r="B62" s="494"/>
      <c r="C62" s="494"/>
      <c r="D62" s="494"/>
      <c r="E62" s="494"/>
      <c r="F62" s="494"/>
      <c r="G62" s="494"/>
      <c r="H62" s="606">
        <f>H63-H61</f>
        <v>4989</v>
      </c>
      <c r="I62" s="545">
        <v>0</v>
      </c>
      <c r="J62" s="545">
        <v>0</v>
      </c>
      <c r="K62" s="494"/>
      <c r="L62" s="608"/>
      <c r="M62" s="608"/>
      <c r="N62" s="608"/>
      <c r="O62" s="494"/>
      <c r="P62" s="494"/>
      <c r="Q62" s="494"/>
      <c r="R62" s="494"/>
      <c r="S62" s="494"/>
      <c r="T62" s="494"/>
      <c r="U62" s="494"/>
      <c r="V62" s="494"/>
      <c r="W62" s="494"/>
    </row>
    <row r="63" spans="1:23" ht="15.75" customHeight="1" thickBot="1">
      <c r="A63" s="541" t="s">
        <v>494</v>
      </c>
      <c r="B63" s="494"/>
      <c r="C63" s="494"/>
      <c r="D63" s="494"/>
      <c r="E63" s="494"/>
      <c r="F63" s="494"/>
      <c r="G63" s="494"/>
      <c r="H63" s="609">
        <v>10208</v>
      </c>
      <c r="I63" s="544">
        <v>0</v>
      </c>
      <c r="J63" s="565">
        <v>0</v>
      </c>
      <c r="K63" s="480">
        <f>H63+I63-J63</f>
        <v>10208</v>
      </c>
      <c r="L63" s="607">
        <v>7576</v>
      </c>
      <c r="M63" s="607">
        <v>9101</v>
      </c>
      <c r="N63" s="540">
        <f>(M63/K63)^(1/2)-1</f>
        <v>-5.5777757816927509E-2</v>
      </c>
      <c r="O63" s="494"/>
      <c r="P63" s="494"/>
      <c r="Q63" s="494"/>
      <c r="R63" s="494"/>
      <c r="S63" s="494"/>
      <c r="T63" s="494"/>
      <c r="U63" s="494"/>
      <c r="V63" s="494"/>
      <c r="W63" s="494"/>
    </row>
    <row r="64" spans="1:23" ht="15.75" customHeight="1" thickBot="1">
      <c r="A64" s="458" t="s">
        <v>495</v>
      </c>
      <c r="B64" s="458"/>
      <c r="C64" s="458"/>
      <c r="D64" s="458"/>
      <c r="E64" s="458"/>
      <c r="F64" s="458"/>
      <c r="G64" s="458"/>
      <c r="H64" s="606">
        <v>7567</v>
      </c>
      <c r="I64" s="545">
        <v>0</v>
      </c>
      <c r="J64" s="545">
        <v>0</v>
      </c>
      <c r="K64" s="458"/>
      <c r="L64" s="576"/>
      <c r="M64" s="576"/>
      <c r="N64" s="576"/>
      <c r="O64" s="458"/>
      <c r="P64" s="458"/>
      <c r="Q64" s="458"/>
      <c r="R64" s="458"/>
      <c r="S64" s="458"/>
      <c r="T64" s="458"/>
      <c r="U64" s="458"/>
      <c r="V64" s="458"/>
      <c r="W64" s="458"/>
    </row>
    <row r="65" spans="1:23" ht="15.75" customHeight="1" thickBot="1">
      <c r="A65" s="494" t="s">
        <v>496</v>
      </c>
      <c r="B65" s="494"/>
      <c r="C65" s="494"/>
      <c r="D65" s="494"/>
      <c r="E65" s="494"/>
      <c r="F65" s="494"/>
      <c r="G65" s="494"/>
      <c r="H65" s="610">
        <f>H63+H64</f>
        <v>17775</v>
      </c>
      <c r="I65" s="544">
        <v>0</v>
      </c>
      <c r="J65" s="565">
        <v>0</v>
      </c>
      <c r="K65" s="480">
        <f>H65+I65-J65</f>
        <v>17775</v>
      </c>
      <c r="L65" s="607">
        <v>12769</v>
      </c>
      <c r="M65" s="607">
        <v>13752</v>
      </c>
      <c r="N65" s="540">
        <f>(M65/K65)^(1/2)-1</f>
        <v>-0.12041436683177387</v>
      </c>
      <c r="O65" s="494"/>
      <c r="P65" s="494"/>
      <c r="Q65" s="494"/>
      <c r="R65" s="494"/>
      <c r="S65" s="494"/>
      <c r="T65" s="494"/>
      <c r="U65" s="494"/>
      <c r="V65" s="494"/>
      <c r="W65" s="494"/>
    </row>
    <row r="66" spans="1:23" ht="16.5" customHeight="1" thickBot="1">
      <c r="A66" s="458"/>
      <c r="B66" s="458"/>
      <c r="C66" s="458"/>
      <c r="D66" s="458"/>
      <c r="E66" s="458"/>
      <c r="F66" s="458"/>
      <c r="G66" s="458"/>
      <c r="H66" s="577"/>
      <c r="I66" s="481"/>
      <c r="J66" s="481"/>
      <c r="K66" s="458"/>
      <c r="L66" s="576"/>
      <c r="M66" s="576"/>
      <c r="N66" s="576"/>
      <c r="O66" s="458"/>
      <c r="P66" s="458"/>
      <c r="Q66" s="458"/>
      <c r="R66" s="458"/>
      <c r="S66" s="458"/>
      <c r="T66" s="458"/>
      <c r="U66" s="458"/>
      <c r="V66" s="458"/>
      <c r="W66" s="458"/>
    </row>
    <row r="67" spans="1:23" ht="15.75" customHeight="1" thickBot="1">
      <c r="A67" s="458" t="s">
        <v>509</v>
      </c>
      <c r="B67" s="458"/>
      <c r="C67" s="458"/>
      <c r="D67" s="458"/>
      <c r="E67" s="458"/>
      <c r="F67" s="458"/>
      <c r="G67" s="458"/>
      <c r="H67" s="606">
        <v>5879</v>
      </c>
      <c r="I67" s="545">
        <v>0</v>
      </c>
      <c r="J67" s="545">
        <v>0</v>
      </c>
      <c r="K67" s="480">
        <f>H67+I67-J67</f>
        <v>5879</v>
      </c>
      <c r="L67" s="576"/>
      <c r="M67" s="576"/>
      <c r="N67" s="576"/>
      <c r="O67" s="458"/>
      <c r="P67" s="458"/>
      <c r="Q67" s="458"/>
      <c r="R67" s="458"/>
      <c r="S67" s="458"/>
      <c r="T67" s="458"/>
      <c r="U67" s="458"/>
      <c r="V67" s="458"/>
      <c r="W67" s="458"/>
    </row>
    <row r="68" spans="1:23" ht="15.75" customHeight="1">
      <c r="A68" s="458" t="s">
        <v>497</v>
      </c>
      <c r="B68" s="458"/>
      <c r="C68" s="458"/>
      <c r="D68" s="458"/>
      <c r="E68" s="458"/>
      <c r="F68" s="458"/>
      <c r="G68" s="458"/>
      <c r="H68" s="611"/>
      <c r="I68" s="566">
        <v>0</v>
      </c>
      <c r="J68" s="566">
        <v>0</v>
      </c>
      <c r="K68" s="458"/>
      <c r="L68" s="576"/>
      <c r="M68" s="576"/>
      <c r="N68" s="576"/>
      <c r="O68" s="458"/>
      <c r="P68" s="458"/>
      <c r="Q68" s="458"/>
      <c r="R68" s="458"/>
      <c r="S68" s="458"/>
      <c r="T68" s="458"/>
      <c r="U68" s="458"/>
      <c r="V68" s="458"/>
      <c r="W68" s="458"/>
    </row>
    <row r="69" spans="1:23" ht="15.75" customHeight="1">
      <c r="A69" s="458" t="s">
        <v>498</v>
      </c>
      <c r="B69" s="458"/>
      <c r="C69" s="458"/>
      <c r="D69" s="458"/>
      <c r="E69" s="458"/>
      <c r="F69" s="458"/>
      <c r="G69" s="458"/>
      <c r="H69" s="612"/>
      <c r="I69" s="542">
        <v>0</v>
      </c>
      <c r="J69" s="542">
        <v>0</v>
      </c>
      <c r="K69" s="458"/>
      <c r="L69" s="576"/>
      <c r="M69" s="576"/>
      <c r="N69" s="576"/>
      <c r="O69" s="458"/>
      <c r="P69" s="458"/>
      <c r="Q69" s="458"/>
      <c r="R69" s="458"/>
      <c r="S69" s="458"/>
      <c r="T69" s="458"/>
      <c r="U69" s="458"/>
      <c r="V69" s="458"/>
      <c r="W69" s="458"/>
    </row>
    <row r="70" spans="1:23" ht="15.75" customHeight="1">
      <c r="A70" s="458" t="s">
        <v>499</v>
      </c>
      <c r="B70" s="458"/>
      <c r="C70" s="458"/>
      <c r="D70" s="458"/>
      <c r="E70" s="458"/>
      <c r="F70" s="458"/>
      <c r="G70" s="458"/>
      <c r="H70" s="612">
        <v>1537</v>
      </c>
      <c r="I70" s="542"/>
      <c r="J70" s="542"/>
      <c r="K70" s="458"/>
      <c r="L70" s="576"/>
      <c r="M70" s="576"/>
      <c r="N70" s="576"/>
      <c r="O70" s="458"/>
      <c r="P70" s="458"/>
      <c r="Q70" s="458"/>
      <c r="R70" s="458"/>
      <c r="S70" s="458"/>
      <c r="T70" s="458"/>
      <c r="U70" s="458"/>
      <c r="V70" s="458"/>
      <c r="W70" s="458"/>
    </row>
    <row r="71" spans="1:23" ht="15.75" customHeight="1">
      <c r="A71" s="458" t="s">
        <v>500</v>
      </c>
      <c r="B71" s="458"/>
      <c r="C71" s="458"/>
      <c r="D71" s="458"/>
      <c r="E71" s="458"/>
      <c r="F71" s="458"/>
      <c r="G71" s="458"/>
      <c r="H71" s="613"/>
      <c r="I71" s="543"/>
      <c r="J71" s="543"/>
      <c r="K71" s="458"/>
      <c r="L71" s="576"/>
      <c r="M71" s="576"/>
      <c r="N71" s="576"/>
      <c r="O71" s="458"/>
      <c r="P71" s="458"/>
      <c r="Q71" s="458"/>
      <c r="R71" s="458"/>
      <c r="S71" s="458"/>
      <c r="T71" s="458"/>
      <c r="U71" s="458"/>
      <c r="V71" s="458"/>
      <c r="W71" s="458"/>
    </row>
    <row r="72" spans="1:23" ht="15.75" customHeight="1">
      <c r="A72" s="494" t="s">
        <v>510</v>
      </c>
      <c r="B72" s="458"/>
      <c r="C72" s="458"/>
      <c r="D72" s="458"/>
      <c r="E72" s="458"/>
      <c r="F72" s="458"/>
      <c r="G72" s="458"/>
      <c r="H72" s="610">
        <v>7416</v>
      </c>
      <c r="I72" s="544">
        <v>0</v>
      </c>
      <c r="J72" s="544">
        <v>0</v>
      </c>
      <c r="K72" s="458"/>
      <c r="L72" s="576"/>
      <c r="M72" s="576"/>
      <c r="N72" s="576"/>
      <c r="O72" s="458"/>
      <c r="P72" s="458"/>
      <c r="Q72" s="458"/>
      <c r="R72" s="458"/>
      <c r="S72" s="458"/>
      <c r="T72" s="458"/>
      <c r="U72" s="458"/>
      <c r="V72" s="458"/>
      <c r="W72" s="458"/>
    </row>
    <row r="73" spans="1:23" ht="15.75" customHeight="1" thickBot="1">
      <c r="A73" s="458" t="s">
        <v>501</v>
      </c>
      <c r="B73" s="458"/>
      <c r="C73" s="458"/>
      <c r="D73" s="458"/>
      <c r="E73" s="458"/>
      <c r="F73" s="458"/>
      <c r="G73" s="458"/>
      <c r="H73" s="606">
        <v>15</v>
      </c>
      <c r="I73" s="545">
        <v>0</v>
      </c>
      <c r="J73" s="545">
        <v>0</v>
      </c>
      <c r="K73" s="458"/>
      <c r="L73" s="576"/>
      <c r="M73" s="576"/>
      <c r="N73" s="576"/>
      <c r="O73" s="458"/>
      <c r="P73" s="458"/>
      <c r="Q73" s="458"/>
      <c r="R73" s="458"/>
      <c r="S73" s="458"/>
      <c r="T73" s="458"/>
      <c r="U73" s="458"/>
      <c r="V73" s="458"/>
      <c r="W73" s="458"/>
    </row>
    <row r="74" spans="1:23" ht="15.75" customHeight="1" thickBot="1">
      <c r="A74" s="494" t="s">
        <v>502</v>
      </c>
      <c r="B74" s="494"/>
      <c r="C74" s="494"/>
      <c r="D74" s="494"/>
      <c r="E74" s="494"/>
      <c r="F74" s="494"/>
      <c r="G74" s="494"/>
      <c r="H74" s="614">
        <f>H72+H73</f>
        <v>7431</v>
      </c>
      <c r="I74" s="546">
        <v>0</v>
      </c>
      <c r="J74" s="546">
        <v>0</v>
      </c>
      <c r="K74" s="480">
        <f>H74+I74-J74</f>
        <v>7431</v>
      </c>
      <c r="L74" s="607">
        <v>5146</v>
      </c>
      <c r="M74" s="607">
        <v>6530</v>
      </c>
      <c r="N74" s="540">
        <f>(M74/K74)^(1/2)-1</f>
        <v>-6.2582708981926416E-2</v>
      </c>
      <c r="O74" s="494"/>
      <c r="P74" s="494"/>
      <c r="Q74" s="494"/>
      <c r="R74" s="494"/>
      <c r="S74" s="494"/>
      <c r="T74" s="494"/>
      <c r="U74" s="494"/>
      <c r="V74" s="494"/>
      <c r="W74" s="494"/>
    </row>
    <row r="75" spans="1:23" ht="15.75" customHeight="1">
      <c r="A75" s="458"/>
      <c r="B75" s="458"/>
      <c r="C75" s="458"/>
      <c r="D75" s="458"/>
      <c r="E75" s="458"/>
      <c r="F75" s="458"/>
      <c r="G75" s="458"/>
      <c r="H75" s="577"/>
      <c r="I75" s="481"/>
      <c r="J75" s="481"/>
      <c r="K75" s="458"/>
      <c r="L75" s="576"/>
      <c r="M75" s="576"/>
      <c r="N75" s="576"/>
      <c r="O75" s="458"/>
      <c r="P75" s="458"/>
      <c r="Q75" s="458"/>
      <c r="R75" s="458"/>
      <c r="S75" s="458"/>
      <c r="T75" s="458"/>
      <c r="U75" s="458"/>
      <c r="V75" s="458"/>
      <c r="W75" s="458"/>
    </row>
    <row r="76" spans="1:23" ht="15.75" customHeight="1" thickBot="1">
      <c r="A76" s="458" t="s">
        <v>503</v>
      </c>
      <c r="B76" s="458"/>
      <c r="C76" s="458"/>
      <c r="D76" s="458"/>
      <c r="E76" s="458"/>
      <c r="F76" s="458"/>
      <c r="G76" s="458"/>
      <c r="H76" s="606">
        <f>C17</f>
        <v>4021</v>
      </c>
      <c r="I76" s="545">
        <v>0</v>
      </c>
      <c r="J76" s="545">
        <v>0</v>
      </c>
      <c r="K76" s="458"/>
      <c r="L76" s="576"/>
      <c r="M76" s="576"/>
      <c r="N76" s="576"/>
      <c r="O76" s="458"/>
      <c r="P76" s="458"/>
      <c r="Q76" s="458"/>
      <c r="R76" s="458"/>
      <c r="S76" s="458"/>
      <c r="T76" s="458"/>
      <c r="U76" s="458"/>
      <c r="V76" s="458"/>
      <c r="W76" s="458"/>
    </row>
    <row r="77" spans="1:23" ht="15.75" customHeight="1" thickBot="1">
      <c r="A77" s="458" t="s">
        <v>504</v>
      </c>
      <c r="B77" s="458"/>
      <c r="C77" s="458"/>
      <c r="D77" s="458"/>
      <c r="E77" s="458"/>
      <c r="F77" s="458"/>
      <c r="G77" s="458"/>
      <c r="H77" s="615">
        <f>H74/H76</f>
        <v>1.8480477493160905</v>
      </c>
      <c r="I77" s="615"/>
      <c r="J77" s="615"/>
      <c r="K77" s="548">
        <f>H77+I77-J77</f>
        <v>1.8480477493160905</v>
      </c>
      <c r="L77" s="549">
        <f>L74/$H$76</f>
        <v>1.2797811489679185</v>
      </c>
      <c r="M77" s="549">
        <f>M74/$H$76</f>
        <v>1.6239741357871176</v>
      </c>
      <c r="N77" s="576"/>
      <c r="O77" s="458"/>
      <c r="P77" s="458"/>
      <c r="Q77" s="458"/>
      <c r="R77" s="458"/>
      <c r="S77" s="458"/>
      <c r="T77" s="458"/>
      <c r="U77" s="458"/>
      <c r="V77" s="458"/>
      <c r="W77" s="458"/>
    </row>
    <row r="78" spans="1:23" ht="15.75" customHeight="1">
      <c r="A78" s="458"/>
      <c r="B78" s="458"/>
      <c r="C78" s="458"/>
      <c r="D78" s="458"/>
      <c r="E78" s="458"/>
      <c r="F78" s="458"/>
      <c r="G78" s="458"/>
      <c r="H78" s="481"/>
      <c r="I78" s="481"/>
      <c r="J78" s="481"/>
      <c r="K78" s="481"/>
      <c r="L78" s="458"/>
      <c r="M78" s="458"/>
      <c r="N78" s="458"/>
      <c r="O78" s="458"/>
      <c r="P78" s="458"/>
      <c r="Q78" s="458"/>
      <c r="R78" s="458"/>
      <c r="S78" s="458"/>
      <c r="T78" s="458"/>
      <c r="U78" s="458"/>
      <c r="V78" s="458"/>
      <c r="W78" s="458"/>
    </row>
    <row r="79" spans="1:23" ht="15.75" customHeight="1">
      <c r="A79" s="458"/>
      <c r="B79" s="458"/>
      <c r="C79" s="458"/>
      <c r="D79" s="458"/>
      <c r="E79" s="458"/>
      <c r="F79" s="458"/>
      <c r="G79" s="458"/>
      <c r="H79" s="458"/>
      <c r="I79" s="458"/>
      <c r="J79" s="458"/>
      <c r="K79" s="458"/>
      <c r="L79" s="458"/>
      <c r="M79" s="458"/>
      <c r="N79" s="458"/>
      <c r="O79" s="458"/>
      <c r="P79" s="458"/>
      <c r="Q79" s="458"/>
      <c r="R79" s="458"/>
      <c r="S79" s="458"/>
      <c r="T79" s="458"/>
      <c r="U79" s="458"/>
      <c r="V79" s="458"/>
      <c r="W79" s="458"/>
    </row>
    <row r="80" spans="1:23" ht="15.75" customHeight="1">
      <c r="A80" s="458"/>
      <c r="B80" s="458"/>
      <c r="C80" s="458"/>
      <c r="D80" s="458"/>
      <c r="E80" s="458"/>
      <c r="F80" s="458"/>
      <c r="G80" s="458"/>
      <c r="H80" s="458"/>
      <c r="I80" s="458"/>
      <c r="J80" s="458"/>
      <c r="K80" s="458"/>
      <c r="L80" s="458"/>
      <c r="M80" s="458"/>
      <c r="N80" s="458"/>
      <c r="O80" s="458"/>
      <c r="P80" s="458"/>
      <c r="Q80" s="458"/>
      <c r="R80" s="458"/>
      <c r="S80" s="458"/>
      <c r="T80" s="458"/>
      <c r="U80" s="458"/>
      <c r="V80" s="458"/>
      <c r="W80" s="458"/>
    </row>
    <row r="81" spans="1:23" ht="15.75" customHeight="1">
      <c r="A81" s="458"/>
      <c r="B81" s="458"/>
      <c r="C81" s="458"/>
      <c r="D81" s="458"/>
      <c r="E81" s="458"/>
      <c r="F81" s="458"/>
      <c r="G81" s="458"/>
      <c r="H81" s="458"/>
      <c r="I81" s="458"/>
      <c r="J81" s="458"/>
      <c r="K81" s="458"/>
      <c r="L81" s="486"/>
      <c r="M81" s="458"/>
      <c r="N81" s="458"/>
      <c r="O81" s="458"/>
      <c r="P81" s="458"/>
      <c r="Q81" s="458"/>
      <c r="R81" s="458"/>
      <c r="S81" s="458"/>
      <c r="T81" s="458"/>
      <c r="U81" s="458"/>
      <c r="V81" s="458"/>
      <c r="W81" s="458"/>
    </row>
    <row r="82" spans="1:23" ht="15.75" customHeight="1">
      <c r="A82" s="458"/>
      <c r="B82" s="458"/>
      <c r="C82" s="458"/>
      <c r="D82" s="458"/>
      <c r="E82" s="458"/>
      <c r="F82" s="458"/>
      <c r="G82" s="458"/>
      <c r="H82" s="458"/>
      <c r="I82" s="458"/>
      <c r="J82" s="458"/>
      <c r="K82" s="458"/>
      <c r="L82" s="458"/>
      <c r="M82" s="458"/>
      <c r="N82" s="458"/>
      <c r="O82" s="458"/>
      <c r="P82" s="458"/>
      <c r="Q82" s="458"/>
      <c r="R82" s="458"/>
      <c r="S82" s="458"/>
      <c r="T82" s="458"/>
      <c r="U82" s="458"/>
      <c r="V82" s="458"/>
      <c r="W82" s="458"/>
    </row>
    <row r="83" spans="1:23" ht="15.75" customHeight="1">
      <c r="A83" s="458"/>
      <c r="B83" s="458"/>
      <c r="C83" s="458"/>
      <c r="D83" s="458"/>
      <c r="E83" s="458"/>
      <c r="F83" s="458"/>
      <c r="G83" s="458"/>
      <c r="H83" s="458"/>
      <c r="I83" s="458"/>
      <c r="J83" s="458"/>
      <c r="K83" s="458"/>
      <c r="L83" s="458"/>
      <c r="M83" s="458"/>
      <c r="N83" s="458"/>
      <c r="O83" s="458"/>
      <c r="P83" s="458"/>
      <c r="Q83" s="458"/>
      <c r="R83" s="458"/>
      <c r="S83" s="458"/>
      <c r="T83" s="458"/>
      <c r="U83" s="458"/>
      <c r="V83" s="458"/>
      <c r="W83" s="458"/>
    </row>
    <row r="84" spans="1:23" ht="15.75" customHeight="1">
      <c r="A84" s="458"/>
      <c r="B84" s="458"/>
      <c r="C84" s="458"/>
      <c r="D84" s="458"/>
      <c r="E84" s="458"/>
      <c r="F84" s="458"/>
      <c r="G84" s="458"/>
      <c r="H84" s="458"/>
      <c r="I84" s="458"/>
      <c r="J84" s="458"/>
      <c r="K84" s="458"/>
      <c r="L84" s="458"/>
      <c r="M84" s="458"/>
      <c r="N84" s="458"/>
      <c r="O84" s="458"/>
      <c r="P84" s="458"/>
      <c r="Q84" s="458"/>
      <c r="R84" s="458"/>
      <c r="S84" s="458"/>
      <c r="T84" s="458"/>
      <c r="U84" s="458"/>
      <c r="V84" s="458"/>
      <c r="W84" s="458"/>
    </row>
    <row r="85" spans="1:23" ht="15.75" customHeight="1">
      <c r="A85" s="458"/>
      <c r="B85" s="458"/>
      <c r="C85" s="458"/>
      <c r="D85" s="458"/>
      <c r="E85" s="458"/>
      <c r="F85" s="458"/>
      <c r="G85" s="458"/>
      <c r="H85" s="458"/>
      <c r="I85" s="458"/>
      <c r="J85" s="458"/>
      <c r="K85" s="458"/>
      <c r="L85" s="458"/>
      <c r="M85" s="458"/>
      <c r="N85" s="458"/>
      <c r="O85" s="458"/>
      <c r="P85" s="458"/>
      <c r="Q85" s="458"/>
      <c r="R85" s="458"/>
      <c r="S85" s="458"/>
      <c r="T85" s="458"/>
      <c r="U85" s="458"/>
      <c r="V85" s="458"/>
      <c r="W85" s="458"/>
    </row>
    <row r="86" spans="1:23" ht="15.75" customHeight="1">
      <c r="A86" s="458"/>
      <c r="B86" s="458"/>
      <c r="C86" s="458"/>
      <c r="D86" s="458"/>
      <c r="E86" s="458"/>
      <c r="F86" s="458"/>
      <c r="G86" s="458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  <c r="S86" s="458"/>
      <c r="T86" s="458"/>
      <c r="U86" s="458"/>
      <c r="V86" s="458"/>
      <c r="W86" s="458"/>
    </row>
    <row r="87" spans="1:23" ht="15.75" customHeight="1">
      <c r="A87" s="458"/>
      <c r="B87" s="458"/>
      <c r="C87" s="458"/>
      <c r="D87" s="458"/>
      <c r="E87" s="458"/>
      <c r="F87" s="458"/>
      <c r="G87" s="458"/>
      <c r="H87" s="458"/>
      <c r="I87" s="458"/>
      <c r="J87" s="458"/>
      <c r="K87" s="458"/>
      <c r="L87" s="458"/>
      <c r="M87" s="458"/>
      <c r="N87" s="458"/>
      <c r="O87" s="458"/>
      <c r="P87" s="458"/>
      <c r="Q87" s="458"/>
      <c r="R87" s="458"/>
      <c r="S87" s="458"/>
      <c r="T87" s="458"/>
      <c r="U87" s="458"/>
      <c r="V87" s="458"/>
      <c r="W87" s="458"/>
    </row>
    <row r="88" spans="1:23" ht="15.75" customHeight="1">
      <c r="A88" s="458"/>
      <c r="B88" s="458"/>
      <c r="C88" s="458"/>
      <c r="D88" s="458"/>
      <c r="E88" s="458"/>
      <c r="F88" s="458"/>
      <c r="G88" s="458"/>
      <c r="H88" s="458"/>
      <c r="I88" s="458"/>
      <c r="J88" s="458"/>
      <c r="K88" s="458"/>
      <c r="L88" s="458"/>
      <c r="M88" s="458"/>
      <c r="N88" s="458"/>
      <c r="O88" s="458"/>
      <c r="P88" s="458"/>
      <c r="Q88" s="458"/>
      <c r="R88" s="458"/>
      <c r="S88" s="458"/>
      <c r="T88" s="458"/>
      <c r="U88" s="458"/>
      <c r="V88" s="458"/>
      <c r="W88" s="458"/>
    </row>
    <row r="89" spans="1:23" ht="15.75" customHeight="1">
      <c r="A89" s="458"/>
      <c r="B89" s="458"/>
      <c r="C89" s="458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58"/>
      <c r="R89" s="458"/>
      <c r="S89" s="458"/>
      <c r="T89" s="458"/>
      <c r="U89" s="458"/>
      <c r="V89" s="458"/>
      <c r="W89" s="458"/>
    </row>
    <row r="90" spans="1:23" ht="15.75" customHeight="1">
      <c r="A90" s="458"/>
      <c r="B90" s="458"/>
      <c r="C90" s="458"/>
      <c r="D90" s="458"/>
      <c r="E90" s="458"/>
      <c r="F90" s="458"/>
      <c r="G90" s="458"/>
      <c r="H90" s="458"/>
      <c r="I90" s="458"/>
      <c r="J90" s="458"/>
      <c r="K90" s="458"/>
      <c r="L90" s="458"/>
      <c r="M90" s="458"/>
      <c r="N90" s="458"/>
      <c r="O90" s="458"/>
      <c r="P90" s="458"/>
      <c r="Q90" s="458"/>
      <c r="R90" s="458"/>
      <c r="S90" s="458"/>
      <c r="T90" s="458"/>
      <c r="U90" s="458"/>
      <c r="V90" s="458"/>
      <c r="W90" s="458"/>
    </row>
    <row r="91" spans="1:23" ht="15.75" customHeight="1">
      <c r="A91" s="458"/>
      <c r="B91" s="458"/>
      <c r="C91" s="458"/>
      <c r="D91" s="458"/>
      <c r="E91" s="458"/>
      <c r="F91" s="458"/>
      <c r="G91" s="458"/>
      <c r="H91" s="458"/>
      <c r="I91" s="458"/>
      <c r="J91" s="458"/>
      <c r="K91" s="458"/>
      <c r="L91" s="458"/>
      <c r="M91" s="458"/>
      <c r="N91" s="458"/>
      <c r="O91" s="458"/>
      <c r="P91" s="458"/>
      <c r="Q91" s="458"/>
      <c r="R91" s="458"/>
      <c r="S91" s="458"/>
      <c r="T91" s="458"/>
      <c r="U91" s="458"/>
      <c r="V91" s="458"/>
      <c r="W91" s="458"/>
    </row>
    <row r="92" spans="1:23" ht="15.75" customHeight="1">
      <c r="A92" s="458"/>
      <c r="B92" s="458"/>
      <c r="C92" s="458"/>
      <c r="D92" s="458"/>
      <c r="E92" s="458"/>
      <c r="F92" s="458"/>
      <c r="G92" s="458"/>
      <c r="H92" s="458"/>
      <c r="I92" s="458"/>
      <c r="J92" s="458"/>
      <c r="K92" s="458"/>
      <c r="L92" s="458"/>
      <c r="M92" s="458"/>
      <c r="N92" s="458"/>
      <c r="O92" s="458"/>
      <c r="P92" s="458"/>
      <c r="Q92" s="458"/>
      <c r="R92" s="458"/>
      <c r="S92" s="458"/>
      <c r="T92" s="458"/>
      <c r="U92" s="458"/>
      <c r="V92" s="458"/>
      <c r="W92" s="458"/>
    </row>
    <row r="93" spans="1:23" ht="15.75" customHeight="1">
      <c r="A93" s="458"/>
      <c r="B93" s="458"/>
      <c r="C93" s="458"/>
      <c r="D93" s="458"/>
      <c r="E93" s="458"/>
      <c r="F93" s="458"/>
      <c r="G93" s="458"/>
      <c r="H93" s="458"/>
      <c r="I93" s="458"/>
      <c r="J93" s="458"/>
      <c r="K93" s="458"/>
      <c r="L93" s="458"/>
      <c r="M93" s="458"/>
      <c r="N93" s="458"/>
      <c r="O93" s="458"/>
      <c r="P93" s="458"/>
      <c r="Q93" s="458"/>
      <c r="R93" s="458"/>
      <c r="S93" s="458"/>
      <c r="T93" s="458"/>
      <c r="U93" s="458"/>
      <c r="V93" s="458"/>
      <c r="W93" s="458"/>
    </row>
    <row r="94" spans="1:23" ht="15.75" customHeight="1">
      <c r="A94" s="458"/>
      <c r="B94" s="458"/>
      <c r="C94" s="458"/>
      <c r="D94" s="458"/>
      <c r="E94" s="458"/>
      <c r="F94" s="458"/>
      <c r="G94" s="458"/>
      <c r="H94" s="458"/>
      <c r="I94" s="458"/>
      <c r="J94" s="458"/>
      <c r="K94" s="458"/>
      <c r="L94" s="458"/>
      <c r="M94" s="458"/>
      <c r="N94" s="458"/>
      <c r="O94" s="458"/>
      <c r="P94" s="458"/>
      <c r="Q94" s="458"/>
      <c r="R94" s="458"/>
      <c r="S94" s="458"/>
      <c r="T94" s="458"/>
      <c r="U94" s="458"/>
      <c r="V94" s="458"/>
      <c r="W94" s="458"/>
    </row>
    <row r="95" spans="1:23" ht="15.75" customHeight="1">
      <c r="A95" s="458"/>
      <c r="B95" s="458"/>
      <c r="C95" s="458"/>
      <c r="D95" s="458"/>
      <c r="E95" s="458"/>
      <c r="F95" s="458"/>
      <c r="G95" s="458"/>
      <c r="H95" s="458"/>
      <c r="I95" s="458"/>
      <c r="J95" s="458"/>
      <c r="K95" s="458"/>
      <c r="L95" s="458"/>
      <c r="M95" s="458"/>
      <c r="N95" s="458"/>
      <c r="O95" s="458"/>
      <c r="P95" s="458"/>
      <c r="Q95" s="458"/>
      <c r="R95" s="458"/>
      <c r="S95" s="458"/>
      <c r="T95" s="458"/>
      <c r="U95" s="458"/>
      <c r="V95" s="458"/>
      <c r="W95" s="458"/>
    </row>
    <row r="96" spans="1:23" ht="15.75" customHeight="1">
      <c r="A96" s="458"/>
      <c r="B96" s="458"/>
      <c r="C96" s="458"/>
      <c r="D96" s="458"/>
      <c r="E96" s="458"/>
      <c r="F96" s="458"/>
      <c r="G96" s="458"/>
      <c r="H96" s="458"/>
      <c r="I96" s="458"/>
      <c r="J96" s="458"/>
      <c r="K96" s="458"/>
      <c r="L96" s="458"/>
      <c r="M96" s="458"/>
      <c r="N96" s="458"/>
      <c r="O96" s="458"/>
      <c r="P96" s="458"/>
      <c r="Q96" s="458"/>
      <c r="R96" s="458"/>
      <c r="S96" s="458"/>
      <c r="T96" s="458"/>
      <c r="U96" s="458"/>
      <c r="V96" s="458"/>
      <c r="W96" s="458"/>
    </row>
    <row r="97" spans="1:23" ht="15.75" customHeight="1">
      <c r="A97" s="458"/>
      <c r="B97" s="458"/>
      <c r="C97" s="458"/>
      <c r="D97" s="458"/>
      <c r="E97" s="458"/>
      <c r="F97" s="458"/>
      <c r="G97" s="458"/>
      <c r="H97" s="458"/>
      <c r="I97" s="458"/>
      <c r="J97" s="458"/>
      <c r="K97" s="458"/>
      <c r="L97" s="458"/>
      <c r="M97" s="458"/>
      <c r="N97" s="458"/>
      <c r="O97" s="458"/>
      <c r="P97" s="458"/>
      <c r="Q97" s="458"/>
      <c r="R97" s="458"/>
      <c r="S97" s="458"/>
      <c r="T97" s="458"/>
      <c r="U97" s="458"/>
      <c r="V97" s="458"/>
      <c r="W97" s="458"/>
    </row>
    <row r="98" spans="1:23" ht="15.75" customHeight="1">
      <c r="A98" s="458"/>
      <c r="B98" s="458"/>
      <c r="C98" s="458"/>
      <c r="D98" s="458"/>
      <c r="E98" s="458"/>
      <c r="F98" s="458"/>
      <c r="G98" s="458"/>
      <c r="H98" s="458"/>
      <c r="I98" s="458"/>
      <c r="J98" s="458"/>
      <c r="K98" s="458"/>
      <c r="L98" s="458"/>
      <c r="M98" s="458"/>
      <c r="N98" s="458"/>
      <c r="O98" s="458"/>
      <c r="P98" s="458"/>
      <c r="Q98" s="458"/>
      <c r="R98" s="458"/>
      <c r="S98" s="458"/>
      <c r="T98" s="458"/>
      <c r="U98" s="458"/>
      <c r="V98" s="458"/>
      <c r="W98" s="458"/>
    </row>
    <row r="99" spans="1:23" ht="15.75" customHeight="1">
      <c r="A99" s="458"/>
      <c r="B99" s="458"/>
      <c r="C99" s="458"/>
      <c r="D99" s="458"/>
      <c r="E99" s="458"/>
      <c r="F99" s="458"/>
      <c r="G99" s="458"/>
      <c r="H99" s="458"/>
      <c r="I99" s="458"/>
      <c r="J99" s="458"/>
      <c r="K99" s="458"/>
      <c r="L99" s="458"/>
      <c r="M99" s="458"/>
      <c r="N99" s="458"/>
      <c r="O99" s="458"/>
      <c r="P99" s="458"/>
      <c r="Q99" s="458"/>
      <c r="R99" s="458"/>
      <c r="S99" s="458"/>
      <c r="T99" s="458"/>
      <c r="U99" s="458"/>
      <c r="V99" s="458"/>
      <c r="W99" s="458"/>
    </row>
    <row r="100" spans="1:23" ht="15.75" customHeight="1">
      <c r="A100" s="458"/>
      <c r="B100" s="458"/>
      <c r="C100" s="458"/>
      <c r="D100" s="458"/>
      <c r="E100" s="458"/>
      <c r="F100" s="458"/>
      <c r="G100" s="458"/>
      <c r="H100" s="458"/>
      <c r="I100" s="458"/>
      <c r="J100" s="458"/>
      <c r="K100" s="458"/>
      <c r="L100" s="458"/>
      <c r="M100" s="458"/>
      <c r="N100" s="458"/>
      <c r="O100" s="458"/>
      <c r="P100" s="458"/>
      <c r="Q100" s="458"/>
      <c r="R100" s="458"/>
      <c r="S100" s="458"/>
      <c r="T100" s="458"/>
      <c r="U100" s="458"/>
      <c r="V100" s="458"/>
      <c r="W100" s="458"/>
    </row>
    <row r="101" spans="1:23" ht="15.75" customHeight="1">
      <c r="A101" s="458"/>
      <c r="B101" s="458"/>
      <c r="C101" s="458"/>
      <c r="D101" s="458"/>
      <c r="E101" s="458"/>
      <c r="F101" s="458"/>
      <c r="G101" s="458"/>
      <c r="H101" s="458"/>
      <c r="I101" s="458"/>
      <c r="J101" s="458"/>
      <c r="K101" s="458"/>
      <c r="L101" s="458"/>
      <c r="M101" s="458"/>
      <c r="N101" s="458"/>
      <c r="O101" s="458"/>
      <c r="P101" s="458"/>
      <c r="Q101" s="458"/>
      <c r="R101" s="458"/>
      <c r="S101" s="458"/>
      <c r="T101" s="458"/>
      <c r="U101" s="458"/>
      <c r="V101" s="458"/>
      <c r="W101" s="458"/>
    </row>
    <row r="102" spans="1:23" ht="15.75" customHeight="1">
      <c r="A102" s="458"/>
      <c r="B102" s="458"/>
      <c r="C102" s="458"/>
      <c r="D102" s="458"/>
      <c r="E102" s="458"/>
      <c r="F102" s="458"/>
      <c r="G102" s="458"/>
      <c r="H102" s="458"/>
      <c r="I102" s="458"/>
      <c r="J102" s="458"/>
      <c r="K102" s="458"/>
      <c r="L102" s="458"/>
      <c r="M102" s="458"/>
      <c r="N102" s="458"/>
      <c r="O102" s="458"/>
      <c r="P102" s="458"/>
      <c r="Q102" s="458"/>
      <c r="R102" s="458"/>
      <c r="S102" s="458"/>
      <c r="T102" s="458"/>
      <c r="U102" s="458"/>
      <c r="V102" s="458"/>
      <c r="W102" s="458"/>
    </row>
    <row r="103" spans="1:23" ht="15.75" customHeight="1">
      <c r="A103" s="458"/>
      <c r="B103" s="458"/>
      <c r="C103" s="458"/>
      <c r="D103" s="458"/>
      <c r="E103" s="458"/>
      <c r="F103" s="458"/>
      <c r="G103" s="458"/>
      <c r="H103" s="458"/>
      <c r="I103" s="458"/>
      <c r="J103" s="458"/>
      <c r="K103" s="458"/>
      <c r="L103" s="458"/>
      <c r="M103" s="458"/>
      <c r="N103" s="458"/>
      <c r="O103" s="458"/>
      <c r="P103" s="458"/>
      <c r="Q103" s="458"/>
      <c r="R103" s="458"/>
      <c r="S103" s="458"/>
      <c r="T103" s="458"/>
      <c r="U103" s="458"/>
      <c r="V103" s="458"/>
      <c r="W103" s="458"/>
    </row>
    <row r="104" spans="1:23" ht="15.75" customHeight="1">
      <c r="A104" s="458"/>
      <c r="B104" s="458"/>
      <c r="C104" s="458"/>
      <c r="D104" s="458"/>
      <c r="E104" s="458"/>
      <c r="F104" s="458"/>
      <c r="G104" s="458"/>
      <c r="H104" s="458"/>
      <c r="I104" s="458"/>
      <c r="J104" s="458"/>
      <c r="K104" s="458"/>
      <c r="L104" s="458"/>
      <c r="M104" s="458"/>
      <c r="N104" s="458"/>
      <c r="O104" s="458"/>
      <c r="P104" s="458"/>
      <c r="Q104" s="458"/>
      <c r="R104" s="458"/>
      <c r="S104" s="458"/>
      <c r="T104" s="458"/>
      <c r="U104" s="458"/>
      <c r="V104" s="458"/>
      <c r="W104" s="458"/>
    </row>
    <row r="105" spans="1:23" ht="15.75" customHeight="1">
      <c r="A105" s="458"/>
      <c r="B105" s="458"/>
      <c r="C105" s="458"/>
      <c r="D105" s="458"/>
      <c r="E105" s="458"/>
      <c r="F105" s="458"/>
      <c r="G105" s="458"/>
      <c r="H105" s="458"/>
      <c r="I105" s="458"/>
      <c r="J105" s="458"/>
      <c r="K105" s="458"/>
      <c r="L105" s="458"/>
      <c r="M105" s="458"/>
      <c r="N105" s="458"/>
      <c r="O105" s="458"/>
      <c r="P105" s="458"/>
      <c r="Q105" s="458"/>
      <c r="R105" s="458"/>
      <c r="S105" s="458"/>
      <c r="T105" s="458"/>
      <c r="U105" s="458"/>
      <c r="V105" s="458"/>
      <c r="W105" s="458"/>
    </row>
    <row r="106" spans="1:23" ht="15.75" customHeight="1">
      <c r="A106" s="458"/>
      <c r="B106" s="458"/>
      <c r="C106" s="458"/>
      <c r="D106" s="458"/>
      <c r="E106" s="458"/>
      <c r="F106" s="458"/>
      <c r="G106" s="458"/>
      <c r="H106" s="458"/>
      <c r="I106" s="458"/>
      <c r="J106" s="458"/>
      <c r="K106" s="458"/>
      <c r="L106" s="458"/>
      <c r="M106" s="458"/>
      <c r="N106" s="458"/>
      <c r="O106" s="458"/>
      <c r="P106" s="458"/>
      <c r="Q106" s="458"/>
      <c r="R106" s="458"/>
      <c r="S106" s="458"/>
      <c r="T106" s="458"/>
      <c r="U106" s="458"/>
      <c r="V106" s="458"/>
      <c r="W106" s="458"/>
    </row>
    <row r="107" spans="1:23" ht="15.75" customHeight="1">
      <c r="A107" s="458"/>
      <c r="B107" s="458"/>
      <c r="C107" s="458"/>
      <c r="D107" s="458"/>
      <c r="E107" s="458"/>
      <c r="F107" s="458"/>
      <c r="G107" s="458"/>
      <c r="H107" s="458"/>
      <c r="I107" s="458"/>
      <c r="J107" s="458"/>
      <c r="K107" s="458"/>
      <c r="L107" s="458"/>
      <c r="M107" s="458"/>
      <c r="N107" s="458"/>
      <c r="O107" s="458"/>
      <c r="P107" s="458"/>
      <c r="Q107" s="458"/>
      <c r="R107" s="458"/>
      <c r="S107" s="458"/>
      <c r="T107" s="458"/>
      <c r="U107" s="458"/>
      <c r="V107" s="458"/>
      <c r="W107" s="458"/>
    </row>
    <row r="108" spans="1:23" ht="15.75" customHeight="1">
      <c r="A108" s="458"/>
      <c r="B108" s="458"/>
      <c r="C108" s="458"/>
      <c r="D108" s="458"/>
      <c r="E108" s="458"/>
      <c r="F108" s="458"/>
      <c r="G108" s="458"/>
      <c r="H108" s="458"/>
      <c r="I108" s="458"/>
      <c r="J108" s="458"/>
      <c r="K108" s="458"/>
      <c r="L108" s="458"/>
      <c r="M108" s="458"/>
      <c r="N108" s="458"/>
      <c r="O108" s="458"/>
      <c r="P108" s="458"/>
      <c r="Q108" s="458"/>
      <c r="R108" s="458"/>
      <c r="S108" s="458"/>
      <c r="T108" s="458"/>
      <c r="U108" s="458"/>
      <c r="V108" s="458"/>
      <c r="W108" s="458"/>
    </row>
    <row r="109" spans="1:23" ht="15.75" customHeight="1">
      <c r="A109" s="458"/>
      <c r="B109" s="458"/>
      <c r="C109" s="458"/>
      <c r="D109" s="458"/>
      <c r="E109" s="458"/>
      <c r="F109" s="458"/>
      <c r="G109" s="458"/>
      <c r="H109" s="458"/>
      <c r="I109" s="458"/>
      <c r="J109" s="458"/>
      <c r="K109" s="458"/>
      <c r="L109" s="458"/>
      <c r="M109" s="458"/>
      <c r="N109" s="458"/>
      <c r="O109" s="458"/>
      <c r="P109" s="458"/>
      <c r="Q109" s="458"/>
      <c r="R109" s="458"/>
      <c r="S109" s="458"/>
      <c r="T109" s="458"/>
      <c r="U109" s="458"/>
      <c r="V109" s="458"/>
      <c r="W109" s="458"/>
    </row>
    <row r="110" spans="1:23" ht="15.75" customHeight="1">
      <c r="A110" s="458"/>
      <c r="B110" s="458"/>
      <c r="C110" s="458"/>
      <c r="D110" s="458"/>
      <c r="E110" s="458"/>
      <c r="F110" s="458"/>
      <c r="G110" s="458"/>
      <c r="H110" s="458"/>
      <c r="I110" s="458"/>
      <c r="J110" s="458"/>
      <c r="K110" s="458"/>
      <c r="L110" s="458"/>
      <c r="M110" s="458"/>
      <c r="N110" s="458"/>
      <c r="O110" s="458"/>
      <c r="P110" s="458"/>
      <c r="Q110" s="458"/>
      <c r="R110" s="458"/>
      <c r="S110" s="458"/>
      <c r="T110" s="458"/>
      <c r="U110" s="458"/>
      <c r="V110" s="458"/>
      <c r="W110" s="458"/>
    </row>
    <row r="111" spans="1:23" ht="15.75" customHeight="1">
      <c r="A111" s="458"/>
      <c r="B111" s="458"/>
      <c r="C111" s="458"/>
      <c r="D111" s="458"/>
      <c r="E111" s="458"/>
      <c r="F111" s="458"/>
      <c r="G111" s="458"/>
      <c r="H111" s="458"/>
      <c r="I111" s="458"/>
      <c r="J111" s="458"/>
      <c r="K111" s="458"/>
      <c r="L111" s="458"/>
      <c r="M111" s="458"/>
      <c r="N111" s="458"/>
      <c r="O111" s="458"/>
      <c r="P111" s="458"/>
      <c r="Q111" s="458"/>
      <c r="R111" s="458"/>
      <c r="S111" s="458"/>
      <c r="T111" s="458"/>
      <c r="U111" s="458"/>
      <c r="V111" s="458"/>
      <c r="W111" s="458"/>
    </row>
    <row r="112" spans="1:23" ht="15.75" customHeight="1">
      <c r="A112" s="458"/>
      <c r="B112" s="458"/>
      <c r="C112" s="458"/>
      <c r="D112" s="458"/>
      <c r="E112" s="458"/>
      <c r="F112" s="458"/>
      <c r="G112" s="458"/>
      <c r="H112" s="458"/>
      <c r="I112" s="458"/>
      <c r="J112" s="458"/>
      <c r="K112" s="458"/>
      <c r="L112" s="458"/>
      <c r="M112" s="458"/>
      <c r="N112" s="458"/>
      <c r="O112" s="458"/>
      <c r="P112" s="458"/>
      <c r="Q112" s="458"/>
      <c r="R112" s="458"/>
      <c r="S112" s="458"/>
      <c r="T112" s="458"/>
      <c r="U112" s="458"/>
      <c r="V112" s="458"/>
      <c r="W112" s="458"/>
    </row>
    <row r="113" spans="1:23" ht="15.75" customHeight="1">
      <c r="A113" s="458"/>
      <c r="B113" s="458"/>
      <c r="C113" s="458"/>
      <c r="D113" s="458"/>
      <c r="E113" s="458"/>
      <c r="F113" s="458"/>
      <c r="G113" s="458"/>
      <c r="H113" s="458"/>
      <c r="I113" s="458"/>
      <c r="J113" s="458"/>
      <c r="K113" s="458"/>
      <c r="L113" s="458"/>
      <c r="M113" s="458"/>
      <c r="N113" s="458"/>
      <c r="O113" s="458"/>
      <c r="P113" s="458"/>
      <c r="Q113" s="458"/>
      <c r="R113" s="458"/>
      <c r="S113" s="458"/>
      <c r="T113" s="458"/>
      <c r="U113" s="458"/>
      <c r="V113" s="458"/>
      <c r="W113" s="458"/>
    </row>
    <row r="114" spans="1:23" ht="15.75" customHeight="1">
      <c r="A114" s="458"/>
      <c r="B114" s="458"/>
      <c r="C114" s="458"/>
      <c r="D114" s="458"/>
      <c r="E114" s="458"/>
      <c r="F114" s="458"/>
      <c r="G114" s="458"/>
      <c r="H114" s="458"/>
      <c r="I114" s="458"/>
      <c r="J114" s="458"/>
      <c r="K114" s="458"/>
      <c r="L114" s="458"/>
      <c r="M114" s="458"/>
      <c r="N114" s="458"/>
      <c r="O114" s="458"/>
      <c r="P114" s="458"/>
      <c r="Q114" s="458"/>
      <c r="R114" s="458"/>
      <c r="S114" s="458"/>
      <c r="T114" s="458"/>
      <c r="U114" s="458"/>
      <c r="V114" s="458"/>
      <c r="W114" s="458"/>
    </row>
    <row r="115" spans="1:23" ht="15.75" customHeight="1">
      <c r="A115" s="458"/>
      <c r="B115" s="458"/>
      <c r="C115" s="458"/>
      <c r="D115" s="458"/>
      <c r="E115" s="458"/>
      <c r="F115" s="458"/>
      <c r="G115" s="458"/>
      <c r="H115" s="458"/>
      <c r="I115" s="458"/>
      <c r="J115" s="458"/>
      <c r="K115" s="458"/>
      <c r="L115" s="458"/>
      <c r="M115" s="458"/>
      <c r="N115" s="458"/>
      <c r="O115" s="458"/>
      <c r="P115" s="458"/>
      <c r="Q115" s="458"/>
      <c r="R115" s="458"/>
      <c r="S115" s="458"/>
      <c r="T115" s="458"/>
      <c r="U115" s="458"/>
      <c r="V115" s="458"/>
      <c r="W115" s="458"/>
    </row>
    <row r="116" spans="1:23" ht="15.75" customHeight="1">
      <c r="A116" s="458"/>
      <c r="B116" s="458"/>
      <c r="C116" s="458"/>
      <c r="D116" s="458"/>
      <c r="E116" s="458"/>
      <c r="F116" s="458"/>
      <c r="G116" s="458"/>
      <c r="H116" s="458"/>
      <c r="I116" s="458"/>
      <c r="J116" s="458"/>
      <c r="K116" s="458"/>
      <c r="L116" s="458"/>
      <c r="M116" s="458"/>
      <c r="N116" s="458"/>
      <c r="O116" s="458"/>
      <c r="P116" s="458"/>
      <c r="Q116" s="458"/>
      <c r="R116" s="458"/>
      <c r="S116" s="458"/>
      <c r="T116" s="458"/>
      <c r="U116" s="458"/>
      <c r="V116" s="458"/>
      <c r="W116" s="458"/>
    </row>
    <row r="117" spans="1:23" ht="15.75" customHeight="1">
      <c r="A117" s="458"/>
      <c r="B117" s="458"/>
      <c r="C117" s="458"/>
      <c r="D117" s="458"/>
      <c r="E117" s="458"/>
      <c r="F117" s="458"/>
      <c r="G117" s="458"/>
      <c r="H117" s="458"/>
      <c r="I117" s="458"/>
      <c r="J117" s="458"/>
      <c r="K117" s="458"/>
      <c r="L117" s="458"/>
      <c r="M117" s="458"/>
      <c r="N117" s="458"/>
      <c r="O117" s="458"/>
      <c r="P117" s="458"/>
      <c r="Q117" s="458"/>
      <c r="R117" s="458"/>
      <c r="S117" s="458"/>
      <c r="T117" s="458"/>
      <c r="U117" s="458"/>
      <c r="V117" s="458"/>
      <c r="W117" s="458"/>
    </row>
    <row r="118" spans="1:23" ht="15.75" customHeight="1">
      <c r="A118" s="458"/>
      <c r="B118" s="458"/>
      <c r="C118" s="458"/>
      <c r="D118" s="458"/>
      <c r="E118" s="458"/>
      <c r="F118" s="458"/>
      <c r="G118" s="458"/>
      <c r="H118" s="458"/>
      <c r="I118" s="458"/>
      <c r="J118" s="458"/>
      <c r="K118" s="458"/>
      <c r="L118" s="458"/>
      <c r="M118" s="458"/>
      <c r="N118" s="458"/>
      <c r="O118" s="458"/>
      <c r="P118" s="458"/>
      <c r="Q118" s="458"/>
      <c r="R118" s="458"/>
      <c r="S118" s="458"/>
      <c r="T118" s="458"/>
      <c r="U118" s="458"/>
      <c r="V118" s="458"/>
      <c r="W118" s="458"/>
    </row>
    <row r="119" spans="1:23" ht="15.75" customHeight="1">
      <c r="A119" s="458"/>
      <c r="B119" s="458"/>
      <c r="C119" s="458"/>
      <c r="D119" s="458"/>
      <c r="E119" s="458"/>
      <c r="F119" s="458"/>
      <c r="G119" s="458"/>
      <c r="H119" s="458"/>
      <c r="I119" s="458"/>
      <c r="J119" s="458"/>
      <c r="K119" s="458"/>
      <c r="L119" s="458"/>
      <c r="M119" s="458"/>
      <c r="N119" s="458"/>
      <c r="O119" s="458"/>
      <c r="P119" s="458"/>
      <c r="Q119" s="458"/>
      <c r="R119" s="458"/>
      <c r="S119" s="458"/>
      <c r="T119" s="458"/>
      <c r="U119" s="458"/>
      <c r="V119" s="458"/>
      <c r="W119" s="458"/>
    </row>
    <row r="120" spans="1:23" ht="15.75" customHeight="1">
      <c r="A120" s="458"/>
      <c r="B120" s="458"/>
      <c r="C120" s="458"/>
      <c r="D120" s="458"/>
      <c r="E120" s="458"/>
      <c r="F120" s="458"/>
      <c r="G120" s="458"/>
      <c r="H120" s="458"/>
      <c r="I120" s="458"/>
      <c r="J120" s="458"/>
      <c r="K120" s="458"/>
      <c r="L120" s="458"/>
      <c r="M120" s="458"/>
      <c r="N120" s="458"/>
      <c r="O120" s="458"/>
      <c r="P120" s="458"/>
      <c r="Q120" s="458"/>
      <c r="R120" s="458"/>
      <c r="S120" s="458"/>
      <c r="T120" s="458"/>
      <c r="U120" s="458"/>
      <c r="V120" s="458"/>
      <c r="W120" s="458"/>
    </row>
    <row r="121" spans="1:23" ht="15.75" customHeight="1">
      <c r="A121" s="458"/>
      <c r="B121" s="458"/>
      <c r="C121" s="458"/>
      <c r="D121" s="458"/>
      <c r="E121" s="458"/>
      <c r="F121" s="458"/>
      <c r="G121" s="458"/>
      <c r="H121" s="458"/>
      <c r="I121" s="458"/>
      <c r="J121" s="458"/>
      <c r="K121" s="458"/>
      <c r="L121" s="458"/>
      <c r="M121" s="458"/>
      <c r="N121" s="458"/>
      <c r="O121" s="458"/>
      <c r="P121" s="458"/>
      <c r="Q121" s="458"/>
      <c r="R121" s="458"/>
      <c r="S121" s="458"/>
      <c r="T121" s="458"/>
      <c r="U121" s="458"/>
      <c r="V121" s="458"/>
      <c r="W121" s="458"/>
    </row>
    <row r="122" spans="1:23" ht="15.75" customHeight="1">
      <c r="A122" s="458"/>
      <c r="B122" s="458"/>
      <c r="C122" s="458"/>
      <c r="D122" s="458"/>
      <c r="E122" s="458"/>
      <c r="F122" s="458"/>
      <c r="G122" s="458"/>
      <c r="H122" s="458"/>
      <c r="I122" s="458"/>
      <c r="J122" s="458"/>
      <c r="K122" s="458"/>
      <c r="L122" s="458"/>
      <c r="M122" s="458"/>
      <c r="N122" s="458"/>
      <c r="O122" s="458"/>
      <c r="P122" s="458"/>
      <c r="Q122" s="458"/>
      <c r="R122" s="458"/>
      <c r="S122" s="458"/>
      <c r="T122" s="458"/>
      <c r="U122" s="458"/>
      <c r="V122" s="458"/>
      <c r="W122" s="458"/>
    </row>
    <row r="123" spans="1:23" ht="15.75" customHeight="1">
      <c r="A123" s="458"/>
      <c r="B123" s="458"/>
      <c r="C123" s="458"/>
      <c r="D123" s="458"/>
      <c r="E123" s="458"/>
      <c r="F123" s="458"/>
      <c r="G123" s="458"/>
      <c r="H123" s="458"/>
      <c r="I123" s="458"/>
      <c r="J123" s="458"/>
      <c r="K123" s="458"/>
      <c r="L123" s="458"/>
      <c r="M123" s="458"/>
      <c r="N123" s="458"/>
      <c r="O123" s="458"/>
      <c r="P123" s="458"/>
      <c r="Q123" s="458"/>
      <c r="R123" s="458"/>
      <c r="S123" s="458"/>
      <c r="T123" s="458"/>
      <c r="U123" s="458"/>
      <c r="V123" s="458"/>
      <c r="W123" s="458"/>
    </row>
    <row r="124" spans="1:23" ht="15.75" customHeight="1">
      <c r="A124" s="458"/>
      <c r="B124" s="458"/>
      <c r="C124" s="458"/>
      <c r="D124" s="458"/>
      <c r="E124" s="458"/>
      <c r="F124" s="458"/>
      <c r="G124" s="458"/>
      <c r="H124" s="458"/>
      <c r="I124" s="458"/>
      <c r="J124" s="458"/>
      <c r="K124" s="458"/>
      <c r="L124" s="458"/>
      <c r="M124" s="458"/>
      <c r="N124" s="458"/>
      <c r="O124" s="458"/>
      <c r="P124" s="458"/>
      <c r="Q124" s="458"/>
      <c r="R124" s="458"/>
      <c r="S124" s="458"/>
      <c r="T124" s="458"/>
      <c r="U124" s="458"/>
      <c r="V124" s="458"/>
      <c r="W124" s="458"/>
    </row>
    <row r="125" spans="1:23" ht="15.75" customHeight="1">
      <c r="A125" s="458"/>
      <c r="B125" s="458"/>
      <c r="C125" s="458"/>
      <c r="D125" s="458"/>
      <c r="E125" s="458"/>
      <c r="F125" s="458"/>
      <c r="G125" s="458"/>
      <c r="H125" s="458"/>
      <c r="I125" s="458"/>
      <c r="J125" s="458"/>
      <c r="K125" s="458"/>
      <c r="L125" s="458"/>
      <c r="M125" s="458"/>
      <c r="N125" s="458"/>
      <c r="O125" s="458"/>
      <c r="P125" s="458"/>
      <c r="Q125" s="458"/>
      <c r="R125" s="458"/>
      <c r="S125" s="458"/>
      <c r="T125" s="458"/>
      <c r="U125" s="458"/>
      <c r="V125" s="458"/>
      <c r="W125" s="458"/>
    </row>
    <row r="126" spans="1:23" ht="15.75" customHeight="1">
      <c r="A126" s="458"/>
      <c r="B126" s="458"/>
      <c r="C126" s="458"/>
      <c r="D126" s="458"/>
      <c r="E126" s="458"/>
      <c r="F126" s="458"/>
      <c r="G126" s="458"/>
      <c r="H126" s="458"/>
      <c r="I126" s="458"/>
      <c r="J126" s="458"/>
      <c r="K126" s="458"/>
      <c r="L126" s="458"/>
      <c r="M126" s="458"/>
      <c r="N126" s="458"/>
      <c r="O126" s="458"/>
      <c r="P126" s="458"/>
      <c r="Q126" s="458"/>
      <c r="R126" s="458"/>
      <c r="S126" s="458"/>
      <c r="T126" s="458"/>
      <c r="U126" s="458"/>
      <c r="V126" s="458"/>
      <c r="W126" s="458"/>
    </row>
    <row r="127" spans="1:23" ht="15.75" customHeight="1">
      <c r="A127" s="458"/>
      <c r="B127" s="458"/>
      <c r="C127" s="458"/>
      <c r="D127" s="458"/>
      <c r="E127" s="458"/>
      <c r="F127" s="458"/>
      <c r="G127" s="458"/>
      <c r="H127" s="458"/>
      <c r="I127" s="458"/>
      <c r="J127" s="458"/>
      <c r="K127" s="458"/>
      <c r="L127" s="458"/>
      <c r="M127" s="458"/>
      <c r="N127" s="458"/>
      <c r="O127" s="458"/>
      <c r="P127" s="458"/>
      <c r="Q127" s="458"/>
      <c r="R127" s="458"/>
      <c r="S127" s="458"/>
      <c r="T127" s="458"/>
      <c r="U127" s="458"/>
      <c r="V127" s="458"/>
      <c r="W127" s="458"/>
    </row>
    <row r="128" spans="1:23" ht="15.75" customHeight="1">
      <c r="A128" s="458"/>
      <c r="B128" s="458"/>
      <c r="C128" s="458"/>
      <c r="D128" s="458"/>
      <c r="E128" s="458"/>
      <c r="F128" s="458"/>
      <c r="G128" s="458"/>
      <c r="H128" s="458"/>
      <c r="I128" s="458"/>
      <c r="J128" s="458"/>
      <c r="K128" s="458"/>
      <c r="L128" s="458"/>
      <c r="M128" s="458"/>
      <c r="N128" s="458"/>
      <c r="O128" s="458"/>
      <c r="P128" s="458"/>
      <c r="Q128" s="458"/>
      <c r="R128" s="458"/>
      <c r="S128" s="458"/>
      <c r="T128" s="458"/>
      <c r="U128" s="458"/>
      <c r="V128" s="458"/>
      <c r="W128" s="458"/>
    </row>
    <row r="129" spans="1:23" ht="15.75" customHeight="1">
      <c r="A129" s="458"/>
      <c r="B129" s="458"/>
      <c r="C129" s="458"/>
      <c r="D129" s="458"/>
      <c r="E129" s="458"/>
      <c r="F129" s="458"/>
      <c r="G129" s="458"/>
      <c r="H129" s="458"/>
      <c r="I129" s="458"/>
      <c r="J129" s="458"/>
      <c r="K129" s="458"/>
      <c r="L129" s="458"/>
      <c r="M129" s="458"/>
      <c r="N129" s="458"/>
      <c r="O129" s="458"/>
      <c r="P129" s="458"/>
      <c r="Q129" s="458"/>
      <c r="R129" s="458"/>
      <c r="S129" s="458"/>
      <c r="T129" s="458"/>
      <c r="U129" s="458"/>
      <c r="V129" s="458"/>
      <c r="W129" s="458"/>
    </row>
    <row r="130" spans="1:23" ht="15.75" customHeight="1">
      <c r="A130" s="458"/>
      <c r="B130" s="458"/>
      <c r="C130" s="458"/>
      <c r="D130" s="458"/>
      <c r="E130" s="458"/>
      <c r="F130" s="458"/>
      <c r="G130" s="458"/>
      <c r="H130" s="458"/>
      <c r="I130" s="458"/>
      <c r="J130" s="458"/>
      <c r="K130" s="458"/>
      <c r="L130" s="458"/>
      <c r="M130" s="458"/>
      <c r="N130" s="458"/>
      <c r="O130" s="458"/>
      <c r="P130" s="458"/>
      <c r="Q130" s="458"/>
      <c r="R130" s="458"/>
      <c r="S130" s="458"/>
      <c r="T130" s="458"/>
      <c r="U130" s="458"/>
      <c r="V130" s="458"/>
      <c r="W130" s="458"/>
    </row>
    <row r="131" spans="1:23" ht="15.75" customHeight="1">
      <c r="A131" s="458"/>
      <c r="B131" s="458"/>
      <c r="C131" s="458"/>
      <c r="D131" s="458"/>
      <c r="E131" s="458"/>
      <c r="F131" s="458"/>
      <c r="G131" s="458"/>
      <c r="H131" s="458"/>
      <c r="I131" s="458"/>
      <c r="J131" s="458"/>
      <c r="K131" s="458"/>
      <c r="L131" s="458"/>
      <c r="M131" s="458"/>
      <c r="N131" s="458"/>
      <c r="O131" s="458"/>
      <c r="P131" s="458"/>
      <c r="Q131" s="458"/>
      <c r="R131" s="458"/>
      <c r="S131" s="458"/>
      <c r="T131" s="458"/>
      <c r="U131" s="458"/>
      <c r="V131" s="458"/>
      <c r="W131" s="458"/>
    </row>
    <row r="132" spans="1:23" ht="15.75" customHeight="1">
      <c r="A132" s="458"/>
      <c r="B132" s="458"/>
      <c r="C132" s="458"/>
      <c r="D132" s="458"/>
      <c r="E132" s="458"/>
      <c r="F132" s="458"/>
      <c r="G132" s="458"/>
      <c r="H132" s="458"/>
      <c r="I132" s="458"/>
      <c r="J132" s="458"/>
      <c r="K132" s="458"/>
      <c r="L132" s="458"/>
      <c r="M132" s="458"/>
      <c r="N132" s="458"/>
      <c r="O132" s="458"/>
      <c r="P132" s="458"/>
      <c r="Q132" s="458"/>
      <c r="R132" s="458"/>
      <c r="S132" s="458"/>
      <c r="T132" s="458"/>
      <c r="U132" s="458"/>
      <c r="V132" s="458"/>
      <c r="W132" s="458"/>
    </row>
    <row r="133" spans="1:23" ht="15.75" customHeight="1">
      <c r="A133" s="458"/>
      <c r="B133" s="458"/>
      <c r="C133" s="458"/>
      <c r="D133" s="458"/>
      <c r="E133" s="458"/>
      <c r="F133" s="458"/>
      <c r="G133" s="458"/>
      <c r="H133" s="458"/>
      <c r="I133" s="458"/>
      <c r="J133" s="458"/>
      <c r="K133" s="458"/>
      <c r="L133" s="458"/>
      <c r="M133" s="458"/>
      <c r="N133" s="458"/>
      <c r="O133" s="458"/>
      <c r="P133" s="458"/>
      <c r="Q133" s="458"/>
      <c r="R133" s="458"/>
      <c r="S133" s="458"/>
      <c r="T133" s="458"/>
      <c r="U133" s="458"/>
      <c r="V133" s="458"/>
      <c r="W133" s="458"/>
    </row>
    <row r="134" spans="1:23" ht="15.75" customHeight="1">
      <c r="A134" s="458"/>
      <c r="B134" s="458"/>
      <c r="C134" s="458"/>
      <c r="D134" s="458"/>
      <c r="E134" s="458"/>
      <c r="F134" s="458"/>
      <c r="G134" s="458"/>
      <c r="H134" s="458"/>
      <c r="I134" s="458"/>
      <c r="J134" s="458"/>
      <c r="K134" s="458"/>
      <c r="L134" s="458"/>
      <c r="M134" s="458"/>
      <c r="N134" s="458"/>
      <c r="O134" s="458"/>
      <c r="P134" s="458"/>
      <c r="Q134" s="458"/>
      <c r="R134" s="458"/>
      <c r="S134" s="458"/>
      <c r="T134" s="458"/>
      <c r="U134" s="458"/>
      <c r="V134" s="458"/>
      <c r="W134" s="458"/>
    </row>
    <row r="135" spans="1:23" ht="15.75" customHeight="1">
      <c r="A135" s="458"/>
      <c r="B135" s="458"/>
      <c r="C135" s="458"/>
      <c r="D135" s="458"/>
      <c r="E135" s="458"/>
      <c r="F135" s="458"/>
      <c r="G135" s="458"/>
      <c r="H135" s="458"/>
      <c r="I135" s="458"/>
      <c r="J135" s="458"/>
      <c r="K135" s="458"/>
      <c r="L135" s="458"/>
      <c r="M135" s="458"/>
      <c r="N135" s="458"/>
      <c r="O135" s="458"/>
      <c r="P135" s="458"/>
      <c r="Q135" s="458"/>
      <c r="R135" s="458"/>
      <c r="S135" s="458"/>
      <c r="T135" s="458"/>
      <c r="U135" s="458"/>
      <c r="V135" s="458"/>
      <c r="W135" s="458"/>
    </row>
    <row r="136" spans="1:23" ht="15.75" customHeight="1">
      <c r="A136" s="458"/>
      <c r="B136" s="458"/>
      <c r="C136" s="458"/>
      <c r="D136" s="458"/>
      <c r="E136" s="458"/>
      <c r="F136" s="458"/>
      <c r="G136" s="458"/>
      <c r="H136" s="458"/>
      <c r="I136" s="458"/>
      <c r="J136" s="458"/>
      <c r="K136" s="458"/>
      <c r="L136" s="458"/>
      <c r="M136" s="458"/>
      <c r="N136" s="458"/>
      <c r="O136" s="458"/>
      <c r="P136" s="458"/>
      <c r="Q136" s="458"/>
      <c r="R136" s="458"/>
      <c r="S136" s="458"/>
      <c r="T136" s="458"/>
      <c r="U136" s="458"/>
      <c r="V136" s="458"/>
      <c r="W136" s="458"/>
    </row>
    <row r="137" spans="1:23" ht="15.75" customHeight="1">
      <c r="A137" s="458"/>
      <c r="B137" s="458"/>
      <c r="C137" s="458"/>
      <c r="D137" s="458"/>
      <c r="E137" s="458"/>
      <c r="F137" s="458"/>
      <c r="G137" s="458"/>
      <c r="H137" s="458"/>
      <c r="I137" s="458"/>
      <c r="J137" s="458"/>
      <c r="K137" s="458"/>
      <c r="L137" s="458"/>
      <c r="M137" s="458"/>
      <c r="N137" s="458"/>
      <c r="O137" s="458"/>
      <c r="P137" s="458"/>
      <c r="Q137" s="458"/>
      <c r="R137" s="458"/>
      <c r="S137" s="458"/>
      <c r="T137" s="458"/>
      <c r="U137" s="458"/>
      <c r="V137" s="458"/>
      <c r="W137" s="458"/>
    </row>
    <row r="138" spans="1:23" ht="15.75" customHeight="1">
      <c r="A138" s="458"/>
      <c r="B138" s="458"/>
      <c r="C138" s="458"/>
      <c r="D138" s="458"/>
      <c r="E138" s="458"/>
      <c r="F138" s="458"/>
      <c r="G138" s="458"/>
      <c r="H138" s="458"/>
      <c r="I138" s="458"/>
      <c r="J138" s="458"/>
      <c r="K138" s="458"/>
      <c r="L138" s="458"/>
      <c r="M138" s="458"/>
      <c r="N138" s="458"/>
      <c r="O138" s="458"/>
      <c r="P138" s="458"/>
      <c r="Q138" s="458"/>
      <c r="R138" s="458"/>
      <c r="S138" s="458"/>
      <c r="T138" s="458"/>
      <c r="U138" s="458"/>
      <c r="V138" s="458"/>
      <c r="W138" s="458"/>
    </row>
    <row r="139" spans="1:23" ht="15.75" customHeight="1">
      <c r="A139" s="458"/>
      <c r="B139" s="458"/>
      <c r="C139" s="458"/>
      <c r="D139" s="458"/>
      <c r="E139" s="458"/>
      <c r="F139" s="458"/>
      <c r="G139" s="458"/>
      <c r="H139" s="458"/>
      <c r="I139" s="458"/>
      <c r="J139" s="458"/>
      <c r="K139" s="458"/>
      <c r="L139" s="458"/>
      <c r="M139" s="458"/>
      <c r="N139" s="458"/>
      <c r="O139" s="458"/>
      <c r="P139" s="458"/>
      <c r="Q139" s="458"/>
      <c r="R139" s="458"/>
      <c r="S139" s="458"/>
      <c r="T139" s="458"/>
      <c r="U139" s="458"/>
      <c r="V139" s="458"/>
      <c r="W139" s="458"/>
    </row>
    <row r="140" spans="1:23" ht="15.75" customHeight="1">
      <c r="A140" s="458"/>
      <c r="B140" s="458"/>
      <c r="C140" s="458"/>
      <c r="D140" s="458"/>
      <c r="E140" s="458"/>
      <c r="F140" s="458"/>
      <c r="G140" s="458"/>
      <c r="H140" s="458"/>
      <c r="I140" s="458"/>
      <c r="J140" s="458"/>
      <c r="K140" s="458"/>
      <c r="L140" s="458"/>
      <c r="M140" s="458"/>
      <c r="N140" s="458"/>
      <c r="O140" s="458"/>
      <c r="P140" s="458"/>
      <c r="Q140" s="458"/>
      <c r="R140" s="458"/>
      <c r="S140" s="458"/>
      <c r="T140" s="458"/>
      <c r="U140" s="458"/>
      <c r="V140" s="458"/>
      <c r="W140" s="458"/>
    </row>
    <row r="141" spans="1:23" ht="15.75" customHeight="1">
      <c r="A141" s="458"/>
      <c r="B141" s="458"/>
      <c r="C141" s="458"/>
      <c r="D141" s="458"/>
      <c r="E141" s="458"/>
      <c r="F141" s="458"/>
      <c r="G141" s="458"/>
      <c r="H141" s="458"/>
      <c r="I141" s="458"/>
      <c r="J141" s="458"/>
      <c r="K141" s="458"/>
      <c r="L141" s="458"/>
      <c r="M141" s="458"/>
      <c r="N141" s="458"/>
      <c r="O141" s="458"/>
      <c r="P141" s="458"/>
      <c r="Q141" s="458"/>
      <c r="R141" s="458"/>
      <c r="S141" s="458"/>
      <c r="T141" s="458"/>
      <c r="U141" s="458"/>
      <c r="V141" s="458"/>
      <c r="W141" s="458"/>
    </row>
    <row r="142" spans="1:23" ht="15.75" customHeight="1">
      <c r="A142" s="458"/>
      <c r="B142" s="458"/>
      <c r="C142" s="458"/>
      <c r="D142" s="458"/>
      <c r="E142" s="458"/>
      <c r="F142" s="458"/>
      <c r="G142" s="458"/>
      <c r="H142" s="458"/>
      <c r="I142" s="458"/>
      <c r="J142" s="458"/>
      <c r="K142" s="458"/>
      <c r="L142" s="458"/>
      <c r="M142" s="458"/>
      <c r="N142" s="458"/>
      <c r="O142" s="458"/>
      <c r="P142" s="458"/>
      <c r="Q142" s="458"/>
      <c r="R142" s="458"/>
      <c r="S142" s="458"/>
      <c r="T142" s="458"/>
      <c r="U142" s="458"/>
      <c r="V142" s="458"/>
      <c r="W142" s="458"/>
    </row>
    <row r="143" spans="1:23" ht="15.75" customHeight="1">
      <c r="A143" s="458"/>
      <c r="B143" s="458"/>
      <c r="C143" s="458"/>
      <c r="D143" s="458"/>
      <c r="E143" s="458"/>
      <c r="F143" s="458"/>
      <c r="G143" s="458"/>
      <c r="H143" s="458"/>
      <c r="I143" s="458"/>
      <c r="J143" s="458"/>
      <c r="K143" s="458"/>
      <c r="L143" s="458"/>
      <c r="M143" s="458"/>
      <c r="N143" s="458"/>
      <c r="O143" s="458"/>
      <c r="P143" s="458"/>
      <c r="Q143" s="458"/>
      <c r="R143" s="458"/>
      <c r="S143" s="458"/>
      <c r="T143" s="458"/>
      <c r="U143" s="458"/>
      <c r="V143" s="458"/>
      <c r="W143" s="458"/>
    </row>
    <row r="144" spans="1:23" ht="15.75" customHeight="1">
      <c r="A144" s="458"/>
      <c r="B144" s="458"/>
      <c r="C144" s="458"/>
      <c r="D144" s="458"/>
      <c r="E144" s="458"/>
      <c r="F144" s="458"/>
      <c r="G144" s="458"/>
      <c r="H144" s="458"/>
      <c r="I144" s="458"/>
      <c r="J144" s="458"/>
      <c r="K144" s="458"/>
      <c r="L144" s="458"/>
      <c r="M144" s="458"/>
      <c r="N144" s="458"/>
      <c r="O144" s="458"/>
      <c r="P144" s="458"/>
      <c r="Q144" s="458"/>
      <c r="R144" s="458"/>
      <c r="S144" s="458"/>
      <c r="T144" s="458"/>
      <c r="U144" s="458"/>
      <c r="V144" s="458"/>
      <c r="W144" s="458"/>
    </row>
    <row r="145" spans="1:23" ht="15.75" customHeight="1">
      <c r="A145" s="458"/>
      <c r="B145" s="458"/>
      <c r="C145" s="458"/>
      <c r="D145" s="458"/>
      <c r="E145" s="458"/>
      <c r="F145" s="458"/>
      <c r="G145" s="458"/>
      <c r="H145" s="458"/>
      <c r="I145" s="458"/>
      <c r="J145" s="458"/>
      <c r="K145" s="458"/>
      <c r="L145" s="458"/>
      <c r="M145" s="458"/>
      <c r="N145" s="458"/>
      <c r="O145" s="458"/>
      <c r="P145" s="458"/>
      <c r="Q145" s="458"/>
      <c r="R145" s="458"/>
      <c r="S145" s="458"/>
      <c r="T145" s="458"/>
      <c r="U145" s="458"/>
      <c r="V145" s="458"/>
      <c r="W145" s="458"/>
    </row>
    <row r="146" spans="1:23" ht="15.75" customHeight="1">
      <c r="A146" s="458"/>
      <c r="B146" s="458"/>
      <c r="C146" s="458"/>
      <c r="D146" s="458"/>
      <c r="E146" s="458"/>
      <c r="F146" s="458"/>
      <c r="G146" s="458"/>
      <c r="H146" s="458"/>
      <c r="I146" s="458"/>
      <c r="J146" s="458"/>
      <c r="K146" s="458"/>
      <c r="L146" s="458"/>
      <c r="M146" s="458"/>
      <c r="N146" s="458"/>
      <c r="O146" s="458"/>
      <c r="P146" s="458"/>
      <c r="Q146" s="458"/>
      <c r="R146" s="458"/>
      <c r="S146" s="458"/>
      <c r="T146" s="458"/>
      <c r="U146" s="458"/>
      <c r="V146" s="458"/>
      <c r="W146" s="458"/>
    </row>
    <row r="147" spans="1:23" ht="15.75" customHeight="1">
      <c r="A147" s="458"/>
      <c r="B147" s="458"/>
      <c r="C147" s="458"/>
      <c r="D147" s="458"/>
      <c r="E147" s="458"/>
      <c r="F147" s="458"/>
      <c r="G147" s="458"/>
      <c r="H147" s="458"/>
      <c r="I147" s="458"/>
      <c r="J147" s="458"/>
      <c r="K147" s="458"/>
      <c r="L147" s="458"/>
      <c r="M147" s="458"/>
      <c r="N147" s="458"/>
      <c r="O147" s="458"/>
      <c r="P147" s="458"/>
      <c r="Q147" s="458"/>
      <c r="R147" s="458"/>
      <c r="S147" s="458"/>
      <c r="T147" s="458"/>
      <c r="U147" s="458"/>
      <c r="V147" s="458"/>
      <c r="W147" s="458"/>
    </row>
    <row r="148" spans="1:23" ht="15.75" customHeight="1">
      <c r="A148" s="458"/>
      <c r="B148" s="458"/>
      <c r="C148" s="458"/>
      <c r="D148" s="458"/>
      <c r="E148" s="458"/>
      <c r="F148" s="458"/>
      <c r="G148" s="458"/>
      <c r="H148" s="458"/>
      <c r="I148" s="458"/>
      <c r="J148" s="458"/>
      <c r="K148" s="458"/>
      <c r="L148" s="458"/>
      <c r="M148" s="458"/>
      <c r="N148" s="458"/>
      <c r="O148" s="458"/>
      <c r="P148" s="458"/>
      <c r="Q148" s="458"/>
      <c r="R148" s="458"/>
      <c r="S148" s="458"/>
      <c r="T148" s="458"/>
      <c r="U148" s="458"/>
      <c r="V148" s="458"/>
      <c r="W148" s="458"/>
    </row>
    <row r="149" spans="1:23" ht="15.75" customHeight="1">
      <c r="A149" s="458"/>
      <c r="B149" s="458"/>
      <c r="C149" s="458"/>
      <c r="D149" s="458"/>
      <c r="E149" s="458"/>
      <c r="F149" s="458"/>
      <c r="G149" s="458"/>
      <c r="H149" s="458"/>
      <c r="I149" s="458"/>
      <c r="J149" s="458"/>
      <c r="K149" s="458"/>
      <c r="L149" s="458"/>
      <c r="M149" s="458"/>
      <c r="N149" s="458"/>
      <c r="O149" s="458"/>
      <c r="P149" s="458"/>
      <c r="Q149" s="458"/>
      <c r="R149" s="458"/>
      <c r="S149" s="458"/>
      <c r="T149" s="458"/>
      <c r="U149" s="458"/>
      <c r="V149" s="458"/>
      <c r="W149" s="458"/>
    </row>
    <row r="150" spans="1:23" ht="15.75" customHeight="1">
      <c r="A150" s="458"/>
      <c r="B150" s="458"/>
      <c r="C150" s="458"/>
      <c r="D150" s="458"/>
      <c r="E150" s="458"/>
      <c r="F150" s="458"/>
      <c r="G150" s="458"/>
      <c r="H150" s="458"/>
      <c r="I150" s="458"/>
      <c r="J150" s="458"/>
      <c r="K150" s="458"/>
      <c r="L150" s="458"/>
      <c r="M150" s="458"/>
      <c r="N150" s="458"/>
      <c r="O150" s="458"/>
      <c r="P150" s="458"/>
      <c r="Q150" s="458"/>
      <c r="R150" s="458"/>
      <c r="S150" s="458"/>
      <c r="T150" s="458"/>
      <c r="U150" s="458"/>
      <c r="V150" s="458"/>
      <c r="W150" s="458"/>
    </row>
    <row r="151" spans="1:23" ht="15.75" customHeight="1">
      <c r="A151" s="458"/>
      <c r="B151" s="458"/>
      <c r="C151" s="458"/>
      <c r="D151" s="458"/>
      <c r="E151" s="458"/>
      <c r="F151" s="458"/>
      <c r="G151" s="458"/>
      <c r="H151" s="458"/>
      <c r="I151" s="458"/>
      <c r="J151" s="458"/>
      <c r="K151" s="458"/>
      <c r="L151" s="458"/>
      <c r="M151" s="458"/>
      <c r="N151" s="458"/>
      <c r="O151" s="458"/>
      <c r="P151" s="458"/>
      <c r="Q151" s="458"/>
      <c r="R151" s="458"/>
      <c r="S151" s="458"/>
      <c r="T151" s="458"/>
      <c r="U151" s="458"/>
      <c r="V151" s="458"/>
      <c r="W151" s="458"/>
    </row>
    <row r="152" spans="1:23" ht="15.75" customHeight="1">
      <c r="A152" s="458"/>
      <c r="B152" s="458"/>
      <c r="C152" s="458"/>
      <c r="D152" s="458"/>
      <c r="E152" s="458"/>
      <c r="F152" s="458"/>
      <c r="G152" s="458"/>
      <c r="H152" s="458"/>
      <c r="I152" s="458"/>
      <c r="J152" s="458"/>
      <c r="K152" s="458"/>
      <c r="L152" s="458"/>
      <c r="M152" s="458"/>
      <c r="N152" s="458"/>
      <c r="O152" s="458"/>
      <c r="P152" s="458"/>
      <c r="Q152" s="458"/>
      <c r="R152" s="458"/>
      <c r="S152" s="458"/>
      <c r="T152" s="458"/>
      <c r="U152" s="458"/>
      <c r="V152" s="458"/>
      <c r="W152" s="458"/>
    </row>
    <row r="153" spans="1:23" ht="15.75" customHeight="1">
      <c r="A153" s="458"/>
      <c r="B153" s="458"/>
      <c r="C153" s="458"/>
      <c r="D153" s="458"/>
      <c r="E153" s="458"/>
      <c r="F153" s="458"/>
      <c r="G153" s="458"/>
      <c r="H153" s="458"/>
      <c r="I153" s="458"/>
      <c r="J153" s="458"/>
      <c r="K153" s="458"/>
      <c r="L153" s="458"/>
      <c r="M153" s="458"/>
      <c r="N153" s="458"/>
      <c r="O153" s="458"/>
      <c r="P153" s="458"/>
      <c r="Q153" s="458"/>
      <c r="R153" s="458"/>
      <c r="S153" s="458"/>
      <c r="T153" s="458"/>
      <c r="U153" s="458"/>
      <c r="V153" s="458"/>
      <c r="W153" s="458"/>
    </row>
    <row r="154" spans="1:23" ht="15.75" customHeight="1">
      <c r="A154" s="458"/>
      <c r="B154" s="458"/>
      <c r="C154" s="458"/>
      <c r="D154" s="458"/>
      <c r="E154" s="458"/>
      <c r="F154" s="458"/>
      <c r="G154" s="458"/>
      <c r="H154" s="458"/>
      <c r="I154" s="458"/>
      <c r="J154" s="458"/>
      <c r="K154" s="458"/>
      <c r="L154" s="458"/>
      <c r="M154" s="458"/>
      <c r="N154" s="458"/>
      <c r="O154" s="458"/>
      <c r="P154" s="458"/>
      <c r="Q154" s="458"/>
      <c r="R154" s="458"/>
      <c r="S154" s="458"/>
      <c r="T154" s="458"/>
      <c r="U154" s="458"/>
      <c r="V154" s="458"/>
      <c r="W154" s="458"/>
    </row>
    <row r="155" spans="1:23" ht="15.75" customHeight="1">
      <c r="A155" s="458"/>
      <c r="B155" s="458"/>
      <c r="C155" s="458"/>
      <c r="D155" s="458"/>
      <c r="E155" s="458"/>
      <c r="F155" s="458"/>
      <c r="G155" s="458"/>
      <c r="H155" s="458"/>
      <c r="I155" s="458"/>
      <c r="J155" s="458"/>
      <c r="K155" s="458"/>
      <c r="L155" s="458"/>
      <c r="M155" s="458"/>
      <c r="N155" s="458"/>
      <c r="O155" s="458"/>
      <c r="P155" s="458"/>
      <c r="Q155" s="458"/>
      <c r="R155" s="458"/>
      <c r="S155" s="458"/>
      <c r="T155" s="458"/>
      <c r="U155" s="458"/>
      <c r="V155" s="458"/>
      <c r="W155" s="458"/>
    </row>
    <row r="156" spans="1:23" ht="15.75" customHeight="1">
      <c r="A156" s="458"/>
      <c r="B156" s="458"/>
      <c r="C156" s="458"/>
      <c r="D156" s="458"/>
      <c r="E156" s="458"/>
      <c r="F156" s="458"/>
      <c r="G156" s="458"/>
      <c r="H156" s="458"/>
      <c r="I156" s="458"/>
      <c r="J156" s="458"/>
      <c r="K156" s="458"/>
      <c r="L156" s="458"/>
      <c r="M156" s="458"/>
      <c r="N156" s="458"/>
      <c r="O156" s="458"/>
      <c r="P156" s="458"/>
      <c r="Q156" s="458"/>
      <c r="R156" s="458"/>
      <c r="S156" s="458"/>
      <c r="T156" s="458"/>
      <c r="U156" s="458"/>
      <c r="V156" s="458"/>
      <c r="W156" s="458"/>
    </row>
    <row r="157" spans="1:23" ht="15.75" customHeight="1">
      <c r="A157" s="458"/>
      <c r="B157" s="458"/>
      <c r="C157" s="458"/>
      <c r="D157" s="458"/>
      <c r="E157" s="458"/>
      <c r="F157" s="458"/>
      <c r="G157" s="458"/>
      <c r="H157" s="458"/>
      <c r="I157" s="458"/>
      <c r="J157" s="458"/>
      <c r="K157" s="458"/>
      <c r="L157" s="458"/>
      <c r="M157" s="458"/>
      <c r="N157" s="458"/>
      <c r="O157" s="458"/>
      <c r="P157" s="458"/>
      <c r="Q157" s="458"/>
      <c r="R157" s="458"/>
      <c r="S157" s="458"/>
      <c r="T157" s="458"/>
      <c r="U157" s="458"/>
      <c r="V157" s="458"/>
      <c r="W157" s="458"/>
    </row>
    <row r="158" spans="1:23" ht="15.75" customHeight="1">
      <c r="A158" s="458"/>
      <c r="B158" s="458"/>
      <c r="C158" s="458"/>
      <c r="D158" s="458"/>
      <c r="E158" s="458"/>
      <c r="F158" s="458"/>
      <c r="G158" s="458"/>
      <c r="H158" s="458"/>
      <c r="I158" s="458"/>
      <c r="J158" s="458"/>
      <c r="K158" s="458"/>
      <c r="L158" s="458"/>
      <c r="M158" s="458"/>
      <c r="N158" s="458"/>
      <c r="O158" s="458"/>
      <c r="P158" s="458"/>
      <c r="Q158" s="458"/>
      <c r="R158" s="458"/>
      <c r="S158" s="458"/>
      <c r="T158" s="458"/>
      <c r="U158" s="458"/>
      <c r="V158" s="458"/>
      <c r="W158" s="458"/>
    </row>
    <row r="159" spans="1:23" ht="15.75" customHeight="1">
      <c r="A159" s="458"/>
      <c r="B159" s="458"/>
      <c r="C159" s="458"/>
      <c r="D159" s="458"/>
      <c r="E159" s="458"/>
      <c r="F159" s="458"/>
      <c r="G159" s="458"/>
      <c r="H159" s="458"/>
      <c r="I159" s="458"/>
      <c r="J159" s="458"/>
      <c r="K159" s="458"/>
      <c r="L159" s="458"/>
      <c r="M159" s="458"/>
      <c r="N159" s="458"/>
      <c r="O159" s="458"/>
      <c r="P159" s="458"/>
      <c r="Q159" s="458"/>
      <c r="R159" s="458"/>
      <c r="S159" s="458"/>
      <c r="T159" s="458"/>
      <c r="U159" s="458"/>
      <c r="V159" s="458"/>
      <c r="W159" s="458"/>
    </row>
    <row r="160" spans="1:23" ht="15.75" customHeight="1">
      <c r="A160" s="458"/>
      <c r="B160" s="458"/>
      <c r="C160" s="458"/>
      <c r="D160" s="458"/>
      <c r="E160" s="458"/>
      <c r="F160" s="458"/>
      <c r="G160" s="458"/>
      <c r="H160" s="458"/>
      <c r="I160" s="458"/>
      <c r="J160" s="458"/>
      <c r="K160" s="458"/>
      <c r="L160" s="458"/>
      <c r="M160" s="458"/>
      <c r="N160" s="458"/>
      <c r="O160" s="458"/>
      <c r="P160" s="458"/>
      <c r="Q160" s="458"/>
      <c r="R160" s="458"/>
      <c r="S160" s="458"/>
      <c r="T160" s="458"/>
      <c r="U160" s="458"/>
      <c r="V160" s="458"/>
      <c r="W160" s="458"/>
    </row>
    <row r="161" spans="1:23" ht="15.75" customHeight="1">
      <c r="A161" s="458"/>
      <c r="B161" s="458"/>
      <c r="C161" s="458"/>
      <c r="D161" s="458"/>
      <c r="E161" s="458"/>
      <c r="F161" s="458"/>
      <c r="G161" s="458"/>
      <c r="H161" s="458"/>
      <c r="I161" s="458"/>
      <c r="J161" s="458"/>
      <c r="K161" s="458"/>
      <c r="L161" s="458"/>
      <c r="M161" s="458"/>
      <c r="N161" s="458"/>
      <c r="O161" s="458"/>
      <c r="P161" s="458"/>
      <c r="Q161" s="458"/>
      <c r="R161" s="458"/>
      <c r="S161" s="458"/>
      <c r="T161" s="458"/>
      <c r="U161" s="458"/>
      <c r="V161" s="458"/>
      <c r="W161" s="458"/>
    </row>
    <row r="162" spans="1:23" ht="15.75" customHeight="1">
      <c r="A162" s="458"/>
      <c r="B162" s="458"/>
      <c r="C162" s="458"/>
      <c r="D162" s="458"/>
      <c r="E162" s="458"/>
      <c r="F162" s="458"/>
      <c r="G162" s="458"/>
      <c r="H162" s="458"/>
      <c r="I162" s="458"/>
      <c r="J162" s="458"/>
      <c r="K162" s="458"/>
      <c r="L162" s="458"/>
      <c r="M162" s="458"/>
      <c r="N162" s="458"/>
      <c r="O162" s="458"/>
      <c r="P162" s="458"/>
      <c r="Q162" s="458"/>
      <c r="R162" s="458"/>
      <c r="S162" s="458"/>
      <c r="T162" s="458"/>
      <c r="U162" s="458"/>
      <c r="V162" s="458"/>
      <c r="W162" s="458"/>
    </row>
    <row r="163" spans="1:23" ht="15.75" customHeight="1">
      <c r="A163" s="458"/>
      <c r="B163" s="458"/>
      <c r="C163" s="458"/>
      <c r="D163" s="458"/>
      <c r="E163" s="458"/>
      <c r="F163" s="458"/>
      <c r="G163" s="458"/>
      <c r="H163" s="458"/>
      <c r="I163" s="458"/>
      <c r="J163" s="458"/>
      <c r="K163" s="458"/>
      <c r="L163" s="458"/>
      <c r="M163" s="458"/>
      <c r="N163" s="458"/>
      <c r="O163" s="458"/>
      <c r="P163" s="458"/>
      <c r="Q163" s="458"/>
      <c r="R163" s="458"/>
      <c r="S163" s="458"/>
      <c r="T163" s="458"/>
      <c r="U163" s="458"/>
      <c r="V163" s="458"/>
      <c r="W163" s="458"/>
    </row>
    <row r="164" spans="1:23" ht="15.75" customHeight="1">
      <c r="A164" s="458"/>
      <c r="B164" s="458"/>
      <c r="C164" s="458"/>
      <c r="D164" s="458"/>
      <c r="E164" s="458"/>
      <c r="F164" s="458"/>
      <c r="G164" s="458"/>
      <c r="H164" s="458"/>
      <c r="I164" s="458"/>
      <c r="J164" s="458"/>
      <c r="K164" s="458"/>
      <c r="L164" s="458"/>
      <c r="M164" s="458"/>
      <c r="N164" s="458"/>
      <c r="O164" s="458"/>
      <c r="P164" s="458"/>
      <c r="Q164" s="458"/>
      <c r="R164" s="458"/>
      <c r="S164" s="458"/>
      <c r="T164" s="458"/>
      <c r="U164" s="458"/>
      <c r="V164" s="458"/>
      <c r="W164" s="458"/>
    </row>
    <row r="165" spans="1:23" ht="15.75" customHeight="1">
      <c r="A165" s="458"/>
      <c r="B165" s="458"/>
      <c r="C165" s="458"/>
      <c r="D165" s="458"/>
      <c r="E165" s="458"/>
      <c r="F165" s="458"/>
      <c r="G165" s="458"/>
      <c r="H165" s="458"/>
      <c r="I165" s="458"/>
      <c r="J165" s="458"/>
      <c r="K165" s="458"/>
      <c r="L165" s="458"/>
      <c r="M165" s="458"/>
      <c r="N165" s="458"/>
      <c r="O165" s="458"/>
      <c r="P165" s="458"/>
      <c r="Q165" s="458"/>
      <c r="R165" s="458"/>
      <c r="S165" s="458"/>
      <c r="T165" s="458"/>
      <c r="U165" s="458"/>
      <c r="V165" s="458"/>
      <c r="W165" s="458"/>
    </row>
    <row r="166" spans="1:23" ht="15.75" customHeight="1">
      <c r="A166" s="458"/>
      <c r="B166" s="458"/>
      <c r="C166" s="458"/>
      <c r="D166" s="458"/>
      <c r="E166" s="458"/>
      <c r="F166" s="458"/>
      <c r="G166" s="458"/>
      <c r="H166" s="458"/>
      <c r="I166" s="458"/>
      <c r="J166" s="458"/>
      <c r="K166" s="458"/>
      <c r="L166" s="458"/>
      <c r="M166" s="458"/>
      <c r="N166" s="458"/>
      <c r="O166" s="458"/>
      <c r="P166" s="458"/>
      <c r="Q166" s="458"/>
      <c r="R166" s="458"/>
      <c r="S166" s="458"/>
      <c r="T166" s="458"/>
      <c r="U166" s="458"/>
      <c r="V166" s="458"/>
      <c r="W166" s="458"/>
    </row>
    <row r="167" spans="1:23" ht="15.75" customHeight="1">
      <c r="A167" s="458"/>
      <c r="B167" s="458"/>
      <c r="C167" s="458"/>
      <c r="D167" s="458"/>
      <c r="E167" s="458"/>
      <c r="F167" s="458"/>
      <c r="G167" s="458"/>
      <c r="H167" s="458"/>
      <c r="I167" s="458"/>
      <c r="J167" s="458"/>
      <c r="K167" s="458"/>
      <c r="L167" s="458"/>
      <c r="M167" s="458"/>
      <c r="N167" s="458"/>
      <c r="O167" s="458"/>
      <c r="P167" s="458"/>
      <c r="Q167" s="458"/>
      <c r="R167" s="458"/>
      <c r="S167" s="458"/>
      <c r="T167" s="458"/>
      <c r="U167" s="458"/>
      <c r="V167" s="458"/>
      <c r="W167" s="458"/>
    </row>
    <row r="168" spans="1:23" ht="15.75" customHeight="1">
      <c r="A168" s="458"/>
      <c r="B168" s="458"/>
      <c r="C168" s="458"/>
      <c r="D168" s="458"/>
      <c r="E168" s="458"/>
      <c r="F168" s="458"/>
      <c r="G168" s="458"/>
      <c r="H168" s="458"/>
      <c r="I168" s="458"/>
      <c r="J168" s="458"/>
      <c r="K168" s="458"/>
      <c r="L168" s="458"/>
      <c r="M168" s="458"/>
      <c r="N168" s="458"/>
      <c r="O168" s="458"/>
      <c r="P168" s="458"/>
      <c r="Q168" s="458"/>
      <c r="R168" s="458"/>
      <c r="S168" s="458"/>
      <c r="T168" s="458"/>
      <c r="U168" s="458"/>
      <c r="V168" s="458"/>
      <c r="W168" s="458"/>
    </row>
    <row r="169" spans="1:23" ht="15.75" customHeight="1">
      <c r="A169" s="458"/>
      <c r="B169" s="458"/>
      <c r="C169" s="458"/>
      <c r="D169" s="458"/>
      <c r="E169" s="458"/>
      <c r="F169" s="458"/>
      <c r="G169" s="458"/>
      <c r="H169" s="458"/>
      <c r="I169" s="458"/>
      <c r="J169" s="458"/>
      <c r="K169" s="458"/>
      <c r="L169" s="458"/>
      <c r="M169" s="458"/>
      <c r="N169" s="458"/>
      <c r="O169" s="458"/>
      <c r="P169" s="458"/>
      <c r="Q169" s="458"/>
      <c r="R169" s="458"/>
      <c r="S169" s="458"/>
      <c r="T169" s="458"/>
      <c r="U169" s="458"/>
      <c r="V169" s="458"/>
      <c r="W169" s="458"/>
    </row>
    <row r="170" spans="1:23" ht="15.75" customHeight="1">
      <c r="A170" s="458"/>
      <c r="B170" s="458"/>
      <c r="C170" s="458"/>
      <c r="D170" s="458"/>
      <c r="E170" s="458"/>
      <c r="F170" s="458"/>
      <c r="G170" s="458"/>
      <c r="H170" s="458"/>
      <c r="I170" s="458"/>
      <c r="J170" s="458"/>
      <c r="K170" s="458"/>
      <c r="L170" s="458"/>
      <c r="M170" s="458"/>
      <c r="N170" s="458"/>
      <c r="O170" s="458"/>
      <c r="P170" s="458"/>
      <c r="Q170" s="458"/>
      <c r="R170" s="458"/>
      <c r="S170" s="458"/>
      <c r="T170" s="458"/>
      <c r="U170" s="458"/>
      <c r="V170" s="458"/>
      <c r="W170" s="458"/>
    </row>
    <row r="171" spans="1:23" ht="15.75" customHeight="1">
      <c r="A171" s="458"/>
      <c r="B171" s="458"/>
      <c r="C171" s="458"/>
      <c r="D171" s="458"/>
      <c r="E171" s="458"/>
      <c r="F171" s="458"/>
      <c r="G171" s="458"/>
      <c r="H171" s="458"/>
      <c r="I171" s="458"/>
      <c r="J171" s="458"/>
      <c r="K171" s="458"/>
      <c r="L171" s="458"/>
      <c r="M171" s="458"/>
      <c r="N171" s="458"/>
      <c r="O171" s="458"/>
      <c r="P171" s="458"/>
      <c r="Q171" s="458"/>
      <c r="R171" s="458"/>
      <c r="S171" s="458"/>
      <c r="T171" s="458"/>
      <c r="U171" s="458"/>
      <c r="V171" s="458"/>
      <c r="W171" s="458"/>
    </row>
    <row r="172" spans="1:23" ht="15.75" customHeight="1">
      <c r="A172" s="458"/>
      <c r="B172" s="458"/>
      <c r="C172" s="458"/>
      <c r="D172" s="458"/>
      <c r="E172" s="458"/>
      <c r="F172" s="458"/>
      <c r="G172" s="458"/>
      <c r="H172" s="458"/>
      <c r="I172" s="458"/>
      <c r="J172" s="458"/>
      <c r="K172" s="458"/>
      <c r="L172" s="458"/>
      <c r="M172" s="458"/>
      <c r="N172" s="458"/>
      <c r="O172" s="458"/>
      <c r="P172" s="458"/>
      <c r="Q172" s="458"/>
      <c r="R172" s="458"/>
      <c r="S172" s="458"/>
      <c r="T172" s="458"/>
      <c r="U172" s="458"/>
      <c r="V172" s="458"/>
      <c r="W172" s="458"/>
    </row>
    <row r="173" spans="1:23" ht="15.75" customHeight="1">
      <c r="A173" s="458"/>
      <c r="B173" s="458"/>
      <c r="C173" s="458"/>
      <c r="D173" s="458"/>
      <c r="E173" s="458"/>
      <c r="F173" s="458"/>
      <c r="G173" s="458"/>
      <c r="H173" s="458"/>
      <c r="I173" s="458"/>
      <c r="J173" s="458"/>
      <c r="K173" s="458"/>
      <c r="L173" s="458"/>
      <c r="M173" s="458"/>
      <c r="N173" s="458"/>
      <c r="O173" s="458"/>
      <c r="P173" s="458"/>
      <c r="Q173" s="458"/>
      <c r="R173" s="458"/>
      <c r="S173" s="458"/>
      <c r="T173" s="458"/>
      <c r="U173" s="458"/>
      <c r="V173" s="458"/>
      <c r="W173" s="458"/>
    </row>
    <row r="174" spans="1:23" ht="15.75" customHeight="1">
      <c r="A174" s="458"/>
      <c r="B174" s="458"/>
      <c r="C174" s="458"/>
      <c r="D174" s="458"/>
      <c r="E174" s="458"/>
      <c r="F174" s="458"/>
      <c r="G174" s="458"/>
      <c r="H174" s="458"/>
      <c r="I174" s="458"/>
      <c r="J174" s="458"/>
      <c r="K174" s="458"/>
      <c r="L174" s="458"/>
      <c r="M174" s="458"/>
      <c r="N174" s="458"/>
      <c r="O174" s="458"/>
      <c r="P174" s="458"/>
      <c r="Q174" s="458"/>
      <c r="R174" s="458"/>
      <c r="S174" s="458"/>
      <c r="T174" s="458"/>
      <c r="U174" s="458"/>
      <c r="V174" s="458"/>
      <c r="W174" s="458"/>
    </row>
    <row r="175" spans="1:23" ht="15.75" customHeight="1">
      <c r="A175" s="458"/>
      <c r="B175" s="458"/>
      <c r="C175" s="458"/>
      <c r="D175" s="458"/>
      <c r="E175" s="458"/>
      <c r="F175" s="458"/>
      <c r="G175" s="458"/>
      <c r="H175" s="458"/>
      <c r="I175" s="458"/>
      <c r="J175" s="458"/>
      <c r="K175" s="458"/>
      <c r="L175" s="458"/>
      <c r="M175" s="458"/>
      <c r="N175" s="458"/>
      <c r="O175" s="458"/>
      <c r="P175" s="458"/>
      <c r="Q175" s="458"/>
      <c r="R175" s="458"/>
      <c r="S175" s="458"/>
      <c r="T175" s="458"/>
      <c r="U175" s="458"/>
      <c r="V175" s="458"/>
      <c r="W175" s="458"/>
    </row>
    <row r="176" spans="1:23" ht="15.75" customHeight="1">
      <c r="A176" s="458"/>
      <c r="B176" s="458"/>
      <c r="C176" s="458"/>
      <c r="D176" s="458"/>
      <c r="E176" s="458"/>
      <c r="F176" s="458"/>
      <c r="G176" s="458"/>
      <c r="H176" s="458"/>
      <c r="I176" s="458"/>
      <c r="J176" s="458"/>
      <c r="K176" s="458"/>
      <c r="L176" s="458"/>
      <c r="M176" s="458"/>
      <c r="N176" s="458"/>
      <c r="O176" s="458"/>
      <c r="P176" s="458"/>
      <c r="Q176" s="458"/>
      <c r="R176" s="458"/>
      <c r="S176" s="458"/>
      <c r="T176" s="458"/>
      <c r="U176" s="458"/>
      <c r="V176" s="458"/>
      <c r="W176" s="458"/>
    </row>
    <row r="177" spans="1:23" ht="15.75" customHeight="1">
      <c r="A177" s="458"/>
      <c r="B177" s="458"/>
      <c r="C177" s="458"/>
      <c r="D177" s="458"/>
      <c r="E177" s="458"/>
      <c r="F177" s="458"/>
      <c r="G177" s="458"/>
      <c r="H177" s="458"/>
      <c r="I177" s="458"/>
      <c r="J177" s="458"/>
      <c r="K177" s="458"/>
      <c r="L177" s="458"/>
      <c r="M177" s="458"/>
      <c r="N177" s="458"/>
      <c r="O177" s="458"/>
      <c r="P177" s="458"/>
      <c r="Q177" s="458"/>
      <c r="R177" s="458"/>
      <c r="S177" s="458"/>
      <c r="T177" s="458"/>
      <c r="U177" s="458"/>
      <c r="V177" s="458"/>
      <c r="W177" s="458"/>
    </row>
    <row r="178" spans="1:23" ht="15.75" customHeight="1">
      <c r="A178" s="458"/>
      <c r="B178" s="458"/>
      <c r="C178" s="458"/>
      <c r="D178" s="458"/>
      <c r="E178" s="458"/>
      <c r="F178" s="458"/>
      <c r="G178" s="458"/>
      <c r="H178" s="458"/>
      <c r="I178" s="458"/>
      <c r="J178" s="458"/>
      <c r="K178" s="458"/>
      <c r="L178" s="458"/>
      <c r="M178" s="458"/>
      <c r="N178" s="458"/>
      <c r="O178" s="458"/>
      <c r="P178" s="458"/>
      <c r="Q178" s="458"/>
      <c r="R178" s="458"/>
      <c r="S178" s="458"/>
      <c r="T178" s="458"/>
      <c r="U178" s="458"/>
      <c r="V178" s="458"/>
      <c r="W178" s="458"/>
    </row>
    <row r="179" spans="1:23" ht="15.75" customHeight="1">
      <c r="A179" s="458"/>
      <c r="B179" s="458"/>
      <c r="C179" s="458"/>
      <c r="D179" s="458"/>
      <c r="E179" s="458"/>
      <c r="F179" s="458"/>
      <c r="G179" s="458"/>
      <c r="H179" s="458"/>
      <c r="I179" s="458"/>
      <c r="J179" s="458"/>
      <c r="K179" s="458"/>
      <c r="L179" s="458"/>
      <c r="M179" s="458"/>
      <c r="N179" s="458"/>
      <c r="O179" s="458"/>
      <c r="P179" s="458"/>
      <c r="Q179" s="458"/>
      <c r="R179" s="458"/>
      <c r="S179" s="458"/>
      <c r="T179" s="458"/>
      <c r="U179" s="458"/>
      <c r="V179" s="458"/>
      <c r="W179" s="458"/>
    </row>
    <row r="180" spans="1:23" ht="15.75" customHeight="1">
      <c r="A180" s="458"/>
      <c r="B180" s="458"/>
      <c r="C180" s="458"/>
      <c r="D180" s="458"/>
      <c r="E180" s="458"/>
      <c r="F180" s="458"/>
      <c r="G180" s="458"/>
      <c r="H180" s="458"/>
      <c r="I180" s="458"/>
      <c r="J180" s="458"/>
      <c r="K180" s="458"/>
      <c r="L180" s="458"/>
      <c r="M180" s="458"/>
      <c r="N180" s="458"/>
      <c r="O180" s="458"/>
      <c r="P180" s="458"/>
      <c r="Q180" s="458"/>
      <c r="R180" s="458"/>
      <c r="S180" s="458"/>
      <c r="T180" s="458"/>
      <c r="U180" s="458"/>
      <c r="V180" s="458"/>
      <c r="W180" s="458"/>
    </row>
    <row r="181" spans="1:23" ht="15.75" customHeight="1">
      <c r="A181" s="458"/>
      <c r="B181" s="458"/>
      <c r="C181" s="458"/>
      <c r="D181" s="458"/>
      <c r="E181" s="458"/>
      <c r="F181" s="458"/>
      <c r="G181" s="458"/>
      <c r="H181" s="458"/>
      <c r="I181" s="458"/>
      <c r="J181" s="458"/>
      <c r="K181" s="458"/>
      <c r="L181" s="458"/>
      <c r="M181" s="458"/>
      <c r="N181" s="458"/>
      <c r="O181" s="458"/>
      <c r="P181" s="458"/>
      <c r="Q181" s="458"/>
      <c r="R181" s="458"/>
      <c r="S181" s="458"/>
      <c r="T181" s="458"/>
      <c r="U181" s="458"/>
      <c r="V181" s="458"/>
      <c r="W181" s="458"/>
    </row>
    <row r="182" spans="1:23" ht="15.75" customHeight="1">
      <c r="A182" s="458"/>
      <c r="B182" s="458"/>
      <c r="C182" s="458"/>
      <c r="D182" s="458"/>
      <c r="E182" s="458"/>
      <c r="F182" s="458"/>
      <c r="G182" s="458"/>
      <c r="H182" s="458"/>
      <c r="I182" s="458"/>
      <c r="J182" s="458"/>
      <c r="K182" s="458"/>
      <c r="L182" s="458"/>
      <c r="M182" s="458"/>
      <c r="N182" s="458"/>
      <c r="O182" s="458"/>
      <c r="P182" s="458"/>
      <c r="Q182" s="458"/>
      <c r="R182" s="458"/>
      <c r="S182" s="458"/>
      <c r="T182" s="458"/>
      <c r="U182" s="458"/>
      <c r="V182" s="458"/>
      <c r="W182" s="458"/>
    </row>
    <row r="183" spans="1:23" ht="15.75" customHeight="1">
      <c r="A183" s="458"/>
      <c r="B183" s="458"/>
      <c r="C183" s="458"/>
      <c r="D183" s="458"/>
      <c r="E183" s="458"/>
      <c r="F183" s="458"/>
      <c r="G183" s="458"/>
      <c r="H183" s="458"/>
      <c r="I183" s="458"/>
      <c r="J183" s="458"/>
      <c r="K183" s="458"/>
      <c r="L183" s="458"/>
      <c r="M183" s="458"/>
      <c r="N183" s="458"/>
      <c r="O183" s="458"/>
      <c r="P183" s="458"/>
      <c r="Q183" s="458"/>
      <c r="R183" s="458"/>
      <c r="S183" s="458"/>
      <c r="T183" s="458"/>
      <c r="U183" s="458"/>
      <c r="V183" s="458"/>
      <c r="W183" s="458"/>
    </row>
    <row r="184" spans="1:23" ht="15.75" customHeight="1">
      <c r="A184" s="458"/>
      <c r="B184" s="458"/>
      <c r="C184" s="458"/>
      <c r="D184" s="458"/>
      <c r="E184" s="458"/>
      <c r="F184" s="458"/>
      <c r="G184" s="458"/>
      <c r="H184" s="458"/>
      <c r="I184" s="458"/>
      <c r="J184" s="458"/>
      <c r="K184" s="458"/>
      <c r="L184" s="458"/>
      <c r="M184" s="458"/>
      <c r="N184" s="458"/>
      <c r="O184" s="458"/>
      <c r="P184" s="458"/>
      <c r="Q184" s="458"/>
      <c r="R184" s="458"/>
      <c r="S184" s="458"/>
      <c r="T184" s="458"/>
      <c r="U184" s="458"/>
      <c r="V184" s="458"/>
      <c r="W184" s="458"/>
    </row>
    <row r="185" spans="1:23" ht="15.75" customHeight="1">
      <c r="A185" s="458"/>
      <c r="B185" s="458"/>
      <c r="C185" s="458"/>
      <c r="D185" s="458"/>
      <c r="E185" s="458"/>
      <c r="F185" s="458"/>
      <c r="G185" s="458"/>
      <c r="H185" s="458"/>
      <c r="I185" s="458"/>
      <c r="J185" s="458"/>
      <c r="K185" s="458"/>
      <c r="L185" s="458"/>
      <c r="M185" s="458"/>
      <c r="N185" s="458"/>
      <c r="O185" s="458"/>
      <c r="P185" s="458"/>
      <c r="Q185" s="458"/>
      <c r="R185" s="458"/>
      <c r="S185" s="458"/>
      <c r="T185" s="458"/>
      <c r="U185" s="458"/>
      <c r="V185" s="458"/>
      <c r="W185" s="458"/>
    </row>
    <row r="186" spans="1:23" ht="15.75" customHeight="1">
      <c r="A186" s="458"/>
      <c r="B186" s="458"/>
      <c r="C186" s="458"/>
      <c r="D186" s="458"/>
      <c r="E186" s="458"/>
      <c r="F186" s="458"/>
      <c r="G186" s="458"/>
      <c r="H186" s="458"/>
      <c r="I186" s="458"/>
      <c r="J186" s="458"/>
      <c r="K186" s="458"/>
      <c r="L186" s="458"/>
      <c r="M186" s="458"/>
      <c r="N186" s="458"/>
      <c r="O186" s="458"/>
      <c r="P186" s="458"/>
      <c r="Q186" s="458"/>
      <c r="R186" s="458"/>
      <c r="S186" s="458"/>
      <c r="T186" s="458"/>
      <c r="U186" s="458"/>
      <c r="V186" s="458"/>
      <c r="W186" s="458"/>
    </row>
    <row r="187" spans="1:23" ht="15.75" customHeight="1">
      <c r="A187" s="458"/>
      <c r="B187" s="458"/>
      <c r="C187" s="458"/>
      <c r="D187" s="458"/>
      <c r="E187" s="458"/>
      <c r="F187" s="458"/>
      <c r="G187" s="458"/>
      <c r="H187" s="458"/>
      <c r="I187" s="458"/>
      <c r="J187" s="458"/>
      <c r="K187" s="458"/>
      <c r="L187" s="458"/>
      <c r="M187" s="458"/>
      <c r="N187" s="458"/>
      <c r="O187" s="458"/>
      <c r="P187" s="458"/>
      <c r="Q187" s="458"/>
      <c r="R187" s="458"/>
      <c r="S187" s="458"/>
      <c r="T187" s="458"/>
      <c r="U187" s="458"/>
      <c r="V187" s="458"/>
      <c r="W187" s="458"/>
    </row>
    <row r="188" spans="1:23" ht="15.75" customHeight="1">
      <c r="A188" s="458"/>
      <c r="B188" s="458"/>
      <c r="C188" s="458"/>
      <c r="D188" s="458"/>
      <c r="E188" s="458"/>
      <c r="F188" s="458"/>
      <c r="G188" s="458"/>
      <c r="H188" s="458"/>
      <c r="I188" s="458"/>
      <c r="J188" s="458"/>
      <c r="K188" s="458"/>
      <c r="L188" s="458"/>
      <c r="M188" s="458"/>
      <c r="N188" s="458"/>
      <c r="O188" s="458"/>
      <c r="P188" s="458"/>
      <c r="Q188" s="458"/>
      <c r="R188" s="458"/>
      <c r="S188" s="458"/>
      <c r="T188" s="458"/>
      <c r="U188" s="458"/>
      <c r="V188" s="458"/>
      <c r="W188" s="458"/>
    </row>
    <row r="189" spans="1:23" ht="15.75" customHeight="1">
      <c r="A189" s="458"/>
      <c r="B189" s="458"/>
      <c r="C189" s="458"/>
      <c r="D189" s="458"/>
      <c r="E189" s="458"/>
      <c r="F189" s="458"/>
      <c r="G189" s="458"/>
      <c r="H189" s="458"/>
      <c r="I189" s="458"/>
      <c r="J189" s="458"/>
      <c r="K189" s="458"/>
      <c r="L189" s="458"/>
      <c r="M189" s="458"/>
      <c r="N189" s="458"/>
      <c r="O189" s="458"/>
      <c r="P189" s="458"/>
      <c r="Q189" s="458"/>
      <c r="R189" s="458"/>
      <c r="S189" s="458"/>
      <c r="T189" s="458"/>
      <c r="U189" s="458"/>
      <c r="V189" s="458"/>
      <c r="W189" s="458"/>
    </row>
    <row r="190" spans="1:23" ht="15.75" customHeight="1">
      <c r="A190" s="458"/>
      <c r="B190" s="458"/>
      <c r="C190" s="458"/>
      <c r="D190" s="458"/>
      <c r="E190" s="458"/>
      <c r="F190" s="458"/>
      <c r="G190" s="458"/>
      <c r="H190" s="458"/>
      <c r="I190" s="458"/>
      <c r="J190" s="458"/>
      <c r="K190" s="458"/>
      <c r="L190" s="458"/>
      <c r="M190" s="458"/>
      <c r="N190" s="458"/>
      <c r="O190" s="458"/>
      <c r="P190" s="458"/>
      <c r="Q190" s="458"/>
      <c r="R190" s="458"/>
      <c r="S190" s="458"/>
      <c r="T190" s="458"/>
      <c r="U190" s="458"/>
      <c r="V190" s="458"/>
      <c r="W190" s="458"/>
    </row>
    <row r="191" spans="1:23" ht="15.75" customHeight="1">
      <c r="A191" s="458"/>
      <c r="B191" s="458"/>
      <c r="C191" s="458"/>
      <c r="D191" s="458"/>
      <c r="E191" s="458"/>
      <c r="F191" s="458"/>
      <c r="G191" s="458"/>
      <c r="H191" s="458"/>
      <c r="I191" s="458"/>
      <c r="J191" s="458"/>
      <c r="K191" s="458"/>
      <c r="L191" s="458"/>
      <c r="M191" s="458"/>
      <c r="N191" s="458"/>
      <c r="O191" s="458"/>
      <c r="P191" s="458"/>
      <c r="Q191" s="458"/>
      <c r="R191" s="458"/>
      <c r="S191" s="458"/>
      <c r="T191" s="458"/>
      <c r="U191" s="458"/>
      <c r="V191" s="458"/>
      <c r="W191" s="458"/>
    </row>
    <row r="192" spans="1:23" ht="15.75" customHeight="1">
      <c r="A192" s="458"/>
      <c r="B192" s="458"/>
      <c r="C192" s="458"/>
      <c r="D192" s="458"/>
      <c r="E192" s="458"/>
      <c r="F192" s="458"/>
      <c r="G192" s="458"/>
      <c r="H192" s="458"/>
      <c r="I192" s="458"/>
      <c r="J192" s="458"/>
      <c r="K192" s="458"/>
      <c r="L192" s="458"/>
      <c r="M192" s="458"/>
      <c r="N192" s="458"/>
      <c r="O192" s="458"/>
      <c r="P192" s="458"/>
      <c r="Q192" s="458"/>
      <c r="R192" s="458"/>
      <c r="S192" s="458"/>
      <c r="T192" s="458"/>
      <c r="U192" s="458"/>
      <c r="V192" s="458"/>
      <c r="W192" s="458"/>
    </row>
    <row r="193" spans="1:23" ht="15.75" customHeight="1">
      <c r="A193" s="458"/>
      <c r="B193" s="458"/>
      <c r="C193" s="458"/>
      <c r="D193" s="458"/>
      <c r="E193" s="458"/>
      <c r="F193" s="458"/>
      <c r="G193" s="458"/>
      <c r="H193" s="458"/>
      <c r="I193" s="458"/>
      <c r="J193" s="458"/>
      <c r="K193" s="458"/>
      <c r="L193" s="458"/>
      <c r="M193" s="458"/>
      <c r="N193" s="458"/>
      <c r="O193" s="458"/>
      <c r="P193" s="458"/>
      <c r="Q193" s="458"/>
      <c r="R193" s="458"/>
      <c r="S193" s="458"/>
      <c r="T193" s="458"/>
      <c r="U193" s="458"/>
      <c r="V193" s="458"/>
      <c r="W193" s="458"/>
    </row>
    <row r="194" spans="1:23" ht="15.75" customHeight="1">
      <c r="A194" s="458"/>
      <c r="B194" s="458"/>
      <c r="C194" s="458"/>
      <c r="D194" s="458"/>
      <c r="E194" s="458"/>
      <c r="F194" s="458"/>
      <c r="G194" s="458"/>
      <c r="H194" s="458"/>
      <c r="I194" s="458"/>
      <c r="J194" s="458"/>
      <c r="K194" s="458"/>
      <c r="L194" s="458"/>
      <c r="M194" s="458"/>
      <c r="N194" s="458"/>
      <c r="O194" s="458"/>
      <c r="P194" s="458"/>
      <c r="Q194" s="458"/>
      <c r="R194" s="458"/>
      <c r="S194" s="458"/>
      <c r="T194" s="458"/>
      <c r="U194" s="458"/>
      <c r="V194" s="458"/>
      <c r="W194" s="458"/>
    </row>
    <row r="195" spans="1:23" ht="15.75" customHeight="1">
      <c r="A195" s="458"/>
      <c r="B195" s="458"/>
      <c r="C195" s="458"/>
      <c r="D195" s="458"/>
      <c r="E195" s="458"/>
      <c r="F195" s="458"/>
      <c r="G195" s="458"/>
      <c r="H195" s="458"/>
      <c r="I195" s="458"/>
      <c r="J195" s="458"/>
      <c r="K195" s="458"/>
      <c r="L195" s="458"/>
      <c r="M195" s="458"/>
      <c r="N195" s="458"/>
      <c r="O195" s="458"/>
      <c r="P195" s="458"/>
      <c r="Q195" s="458"/>
      <c r="R195" s="458"/>
      <c r="S195" s="458"/>
      <c r="T195" s="458"/>
      <c r="U195" s="458"/>
      <c r="V195" s="458"/>
      <c r="W195" s="458"/>
    </row>
    <row r="196" spans="1:23" ht="15.75" customHeight="1">
      <c r="A196" s="458"/>
      <c r="B196" s="458"/>
      <c r="C196" s="458"/>
      <c r="D196" s="458"/>
      <c r="E196" s="458"/>
      <c r="F196" s="458"/>
      <c r="G196" s="458"/>
      <c r="H196" s="458"/>
      <c r="I196" s="458"/>
      <c r="J196" s="458"/>
      <c r="K196" s="458"/>
      <c r="L196" s="458"/>
      <c r="M196" s="458"/>
      <c r="N196" s="458"/>
      <c r="O196" s="458"/>
      <c r="P196" s="458"/>
      <c r="Q196" s="458"/>
      <c r="R196" s="458"/>
      <c r="S196" s="458"/>
      <c r="T196" s="458"/>
      <c r="U196" s="458"/>
      <c r="V196" s="458"/>
      <c r="W196" s="458"/>
    </row>
    <row r="197" spans="1:23" ht="15.75" customHeight="1">
      <c r="A197" s="458"/>
      <c r="B197" s="458"/>
      <c r="C197" s="458"/>
      <c r="D197" s="458"/>
      <c r="E197" s="458"/>
      <c r="F197" s="458"/>
      <c r="G197" s="458"/>
      <c r="H197" s="458"/>
      <c r="I197" s="458"/>
      <c r="J197" s="458"/>
      <c r="K197" s="458"/>
      <c r="L197" s="458"/>
      <c r="M197" s="458"/>
      <c r="N197" s="458"/>
      <c r="O197" s="458"/>
      <c r="P197" s="458"/>
      <c r="Q197" s="458"/>
      <c r="R197" s="458"/>
      <c r="S197" s="458"/>
      <c r="T197" s="458"/>
      <c r="U197" s="458"/>
      <c r="V197" s="458"/>
      <c r="W197" s="458"/>
    </row>
    <row r="198" spans="1:23" ht="15.75" customHeight="1">
      <c r="A198" s="458"/>
      <c r="B198" s="458"/>
      <c r="C198" s="458"/>
      <c r="D198" s="458"/>
      <c r="E198" s="458"/>
      <c r="F198" s="458"/>
      <c r="G198" s="458"/>
      <c r="H198" s="458"/>
      <c r="I198" s="458"/>
      <c r="J198" s="458"/>
      <c r="K198" s="458"/>
      <c r="L198" s="458"/>
      <c r="M198" s="458"/>
      <c r="N198" s="458"/>
      <c r="O198" s="458"/>
      <c r="P198" s="458"/>
      <c r="Q198" s="458"/>
      <c r="R198" s="458"/>
      <c r="S198" s="458"/>
      <c r="T198" s="458"/>
      <c r="U198" s="458"/>
      <c r="V198" s="458"/>
      <c r="W198" s="458"/>
    </row>
    <row r="199" spans="1:23" ht="15.75" customHeight="1">
      <c r="A199" s="458"/>
      <c r="B199" s="458"/>
      <c r="C199" s="458"/>
      <c r="D199" s="458"/>
      <c r="E199" s="458"/>
      <c r="F199" s="458"/>
      <c r="G199" s="458"/>
      <c r="H199" s="458"/>
      <c r="I199" s="458"/>
      <c r="J199" s="458"/>
      <c r="K199" s="458"/>
      <c r="L199" s="458"/>
      <c r="M199" s="458"/>
      <c r="N199" s="458"/>
      <c r="O199" s="458"/>
      <c r="P199" s="458"/>
      <c r="Q199" s="458"/>
      <c r="R199" s="458"/>
      <c r="S199" s="458"/>
      <c r="T199" s="458"/>
      <c r="U199" s="458"/>
      <c r="V199" s="458"/>
      <c r="W199" s="458"/>
    </row>
    <row r="200" spans="1:23" ht="15.75" customHeight="1">
      <c r="A200" s="458"/>
      <c r="B200" s="458"/>
      <c r="C200" s="458"/>
      <c r="D200" s="458"/>
      <c r="E200" s="458"/>
      <c r="F200" s="458"/>
      <c r="G200" s="458"/>
      <c r="H200" s="458"/>
      <c r="I200" s="458"/>
      <c r="J200" s="458"/>
      <c r="K200" s="458"/>
      <c r="L200" s="458"/>
      <c r="M200" s="458"/>
      <c r="N200" s="458"/>
      <c r="O200" s="458"/>
      <c r="P200" s="458"/>
      <c r="Q200" s="458"/>
      <c r="R200" s="458"/>
      <c r="S200" s="458"/>
      <c r="T200" s="458"/>
      <c r="U200" s="458"/>
      <c r="V200" s="458"/>
      <c r="W200" s="458"/>
    </row>
    <row r="201" spans="1:23" ht="15.75" customHeight="1">
      <c r="A201" s="458"/>
      <c r="B201" s="458"/>
      <c r="C201" s="458"/>
      <c r="D201" s="458"/>
      <c r="E201" s="458"/>
      <c r="F201" s="458"/>
      <c r="G201" s="458"/>
      <c r="H201" s="458"/>
      <c r="I201" s="458"/>
      <c r="J201" s="458"/>
      <c r="K201" s="458"/>
      <c r="L201" s="458"/>
      <c r="M201" s="458"/>
      <c r="N201" s="458"/>
      <c r="O201" s="458"/>
      <c r="P201" s="458"/>
      <c r="Q201" s="458"/>
      <c r="R201" s="458"/>
      <c r="S201" s="458"/>
      <c r="T201" s="458"/>
      <c r="U201" s="458"/>
      <c r="V201" s="458"/>
      <c r="W201" s="458"/>
    </row>
    <row r="202" spans="1:23" ht="15.75" customHeight="1">
      <c r="A202" s="458"/>
      <c r="B202" s="458"/>
      <c r="C202" s="458"/>
      <c r="D202" s="458"/>
      <c r="E202" s="458"/>
      <c r="F202" s="458"/>
      <c r="G202" s="458"/>
      <c r="H202" s="458"/>
      <c r="I202" s="458"/>
      <c r="J202" s="458"/>
      <c r="K202" s="458"/>
      <c r="L202" s="458"/>
      <c r="M202" s="458"/>
      <c r="N202" s="458"/>
      <c r="O202" s="458"/>
      <c r="P202" s="458"/>
      <c r="Q202" s="458"/>
      <c r="R202" s="458"/>
      <c r="S202" s="458"/>
      <c r="T202" s="458"/>
      <c r="U202" s="458"/>
      <c r="V202" s="458"/>
      <c r="W202" s="458"/>
    </row>
    <row r="203" spans="1:23" ht="15.75" customHeight="1">
      <c r="A203" s="458"/>
      <c r="B203" s="458"/>
      <c r="C203" s="458"/>
      <c r="D203" s="458"/>
      <c r="E203" s="458"/>
      <c r="F203" s="458"/>
      <c r="G203" s="458"/>
      <c r="H203" s="458"/>
      <c r="I203" s="458"/>
      <c r="J203" s="458"/>
      <c r="K203" s="458"/>
      <c r="L203" s="458"/>
      <c r="M203" s="458"/>
      <c r="N203" s="458"/>
      <c r="O203" s="458"/>
      <c r="P203" s="458"/>
      <c r="Q203" s="458"/>
      <c r="R203" s="458"/>
      <c r="S203" s="458"/>
      <c r="T203" s="458"/>
      <c r="U203" s="458"/>
      <c r="V203" s="458"/>
      <c r="W203" s="458"/>
    </row>
    <row r="204" spans="1:23" ht="15.75" customHeight="1">
      <c r="A204" s="458"/>
      <c r="B204" s="458"/>
      <c r="C204" s="458"/>
      <c r="D204" s="458"/>
      <c r="E204" s="458"/>
      <c r="F204" s="458"/>
      <c r="G204" s="458"/>
      <c r="H204" s="458"/>
      <c r="I204" s="458"/>
      <c r="J204" s="458"/>
      <c r="K204" s="458"/>
      <c r="L204" s="458"/>
      <c r="M204" s="458"/>
      <c r="N204" s="458"/>
      <c r="O204" s="458"/>
      <c r="P204" s="458"/>
      <c r="Q204" s="458"/>
      <c r="R204" s="458"/>
      <c r="S204" s="458"/>
      <c r="T204" s="458"/>
      <c r="U204" s="458"/>
      <c r="V204" s="458"/>
      <c r="W204" s="458"/>
    </row>
    <row r="205" spans="1:23" ht="15.75" customHeight="1">
      <c r="A205" s="458"/>
      <c r="B205" s="458"/>
      <c r="C205" s="458"/>
      <c r="D205" s="458"/>
      <c r="E205" s="458"/>
      <c r="F205" s="458"/>
      <c r="G205" s="458"/>
      <c r="H205" s="458"/>
      <c r="I205" s="458"/>
      <c r="J205" s="458"/>
      <c r="K205" s="458"/>
      <c r="L205" s="458"/>
      <c r="M205" s="458"/>
      <c r="N205" s="458"/>
      <c r="O205" s="458"/>
      <c r="P205" s="458"/>
      <c r="Q205" s="458"/>
      <c r="R205" s="458"/>
      <c r="S205" s="458"/>
      <c r="T205" s="458"/>
      <c r="U205" s="458"/>
      <c r="V205" s="458"/>
      <c r="W205" s="458"/>
    </row>
    <row r="206" spans="1:23" ht="15.75" customHeight="1">
      <c r="A206" s="458"/>
      <c r="B206" s="458"/>
      <c r="C206" s="458"/>
      <c r="D206" s="458"/>
      <c r="E206" s="458"/>
      <c r="F206" s="458"/>
      <c r="G206" s="458"/>
      <c r="H206" s="458"/>
      <c r="I206" s="458"/>
      <c r="J206" s="458"/>
      <c r="K206" s="458"/>
      <c r="L206" s="458"/>
      <c r="M206" s="458"/>
      <c r="N206" s="458"/>
      <c r="O206" s="458"/>
      <c r="P206" s="458"/>
      <c r="Q206" s="458"/>
      <c r="R206" s="458"/>
      <c r="S206" s="458"/>
      <c r="T206" s="458"/>
      <c r="U206" s="458"/>
      <c r="V206" s="458"/>
      <c r="W206" s="458"/>
    </row>
    <row r="207" spans="1:23" ht="15.75" customHeight="1">
      <c r="A207" s="458"/>
      <c r="B207" s="458"/>
      <c r="C207" s="458"/>
      <c r="D207" s="458"/>
      <c r="E207" s="458"/>
      <c r="F207" s="458"/>
      <c r="G207" s="458"/>
      <c r="H207" s="458"/>
      <c r="I207" s="458"/>
      <c r="J207" s="458"/>
      <c r="K207" s="458"/>
      <c r="L207" s="458"/>
      <c r="M207" s="458"/>
      <c r="N207" s="458"/>
      <c r="O207" s="458"/>
      <c r="P207" s="458"/>
      <c r="Q207" s="458"/>
      <c r="R207" s="458"/>
      <c r="S207" s="458"/>
      <c r="T207" s="458"/>
      <c r="U207" s="458"/>
      <c r="V207" s="458"/>
      <c r="W207" s="458"/>
    </row>
    <row r="208" spans="1:23" ht="15.75" customHeight="1">
      <c r="A208" s="458"/>
      <c r="B208" s="458"/>
      <c r="C208" s="458"/>
      <c r="D208" s="458"/>
      <c r="E208" s="458"/>
      <c r="F208" s="458"/>
      <c r="G208" s="458"/>
      <c r="H208" s="458"/>
      <c r="I208" s="458"/>
      <c r="J208" s="458"/>
      <c r="K208" s="458"/>
      <c r="L208" s="458"/>
      <c r="M208" s="458"/>
      <c r="N208" s="458"/>
      <c r="O208" s="458"/>
      <c r="P208" s="458"/>
      <c r="Q208" s="458"/>
      <c r="R208" s="458"/>
      <c r="S208" s="458"/>
      <c r="T208" s="458"/>
      <c r="U208" s="458"/>
      <c r="V208" s="458"/>
      <c r="W208" s="458"/>
    </row>
    <row r="209" spans="1:23" ht="15.75" customHeight="1">
      <c r="A209" s="458"/>
      <c r="B209" s="458"/>
      <c r="C209" s="458"/>
      <c r="D209" s="458"/>
      <c r="E209" s="458"/>
      <c r="F209" s="458"/>
      <c r="G209" s="458"/>
      <c r="H209" s="458"/>
      <c r="I209" s="458"/>
      <c r="J209" s="458"/>
      <c r="K209" s="458"/>
      <c r="L209" s="458"/>
      <c r="M209" s="458"/>
      <c r="N209" s="458"/>
      <c r="O209" s="458"/>
      <c r="P209" s="458"/>
      <c r="Q209" s="458"/>
      <c r="R209" s="458"/>
      <c r="S209" s="458"/>
      <c r="T209" s="458"/>
      <c r="U209" s="458"/>
      <c r="V209" s="458"/>
      <c r="W209" s="458"/>
    </row>
    <row r="210" spans="1:23" ht="15.75" customHeight="1">
      <c r="A210" s="458"/>
      <c r="B210" s="458"/>
      <c r="C210" s="458"/>
      <c r="D210" s="458"/>
      <c r="E210" s="458"/>
      <c r="F210" s="458"/>
      <c r="G210" s="458"/>
      <c r="H210" s="458"/>
      <c r="I210" s="458"/>
      <c r="J210" s="458"/>
      <c r="K210" s="458"/>
      <c r="L210" s="458"/>
      <c r="M210" s="458"/>
      <c r="N210" s="458"/>
      <c r="O210" s="458"/>
      <c r="P210" s="458"/>
      <c r="Q210" s="458"/>
      <c r="R210" s="458"/>
      <c r="S210" s="458"/>
      <c r="T210" s="458"/>
      <c r="U210" s="458"/>
      <c r="V210" s="458"/>
      <c r="W210" s="458"/>
    </row>
    <row r="211" spans="1:23" ht="15.75" customHeight="1">
      <c r="A211" s="458"/>
      <c r="B211" s="458"/>
      <c r="C211" s="458"/>
      <c r="D211" s="458"/>
      <c r="E211" s="458"/>
      <c r="F211" s="458"/>
      <c r="G211" s="458"/>
      <c r="H211" s="458"/>
      <c r="I211" s="458"/>
      <c r="J211" s="458"/>
      <c r="K211" s="458"/>
      <c r="L211" s="458"/>
      <c r="M211" s="458"/>
      <c r="N211" s="458"/>
      <c r="O211" s="458"/>
      <c r="P211" s="458"/>
      <c r="Q211" s="458"/>
      <c r="R211" s="458"/>
      <c r="S211" s="458"/>
      <c r="T211" s="458"/>
      <c r="U211" s="458"/>
      <c r="V211" s="458"/>
      <c r="W211" s="458"/>
    </row>
    <row r="212" spans="1:23" ht="15.75" customHeight="1">
      <c r="A212" s="458"/>
      <c r="B212" s="458"/>
      <c r="C212" s="458"/>
      <c r="D212" s="458"/>
      <c r="E212" s="458"/>
      <c r="F212" s="458"/>
      <c r="G212" s="458"/>
      <c r="H212" s="458"/>
      <c r="I212" s="458"/>
      <c r="J212" s="458"/>
      <c r="K212" s="458"/>
      <c r="L212" s="458"/>
      <c r="M212" s="458"/>
      <c r="N212" s="458"/>
      <c r="O212" s="458"/>
      <c r="P212" s="458"/>
      <c r="Q212" s="458"/>
      <c r="R212" s="458"/>
      <c r="S212" s="458"/>
      <c r="T212" s="458"/>
      <c r="U212" s="458"/>
      <c r="V212" s="458"/>
      <c r="W212" s="458"/>
    </row>
    <row r="213" spans="1:23" ht="15.75" customHeight="1">
      <c r="A213" s="458"/>
      <c r="B213" s="458"/>
      <c r="C213" s="458"/>
      <c r="D213" s="458"/>
      <c r="E213" s="458"/>
      <c r="F213" s="458"/>
      <c r="G213" s="458"/>
      <c r="H213" s="458"/>
      <c r="I213" s="458"/>
      <c r="J213" s="458"/>
      <c r="K213" s="458"/>
      <c r="L213" s="458"/>
      <c r="M213" s="458"/>
      <c r="N213" s="458"/>
      <c r="O213" s="458"/>
      <c r="P213" s="458"/>
      <c r="Q213" s="458"/>
      <c r="R213" s="458"/>
      <c r="S213" s="458"/>
      <c r="T213" s="458"/>
      <c r="U213" s="458"/>
      <c r="V213" s="458"/>
      <c r="W213" s="458"/>
    </row>
    <row r="214" spans="1:23" ht="15.75" customHeight="1">
      <c r="A214" s="458"/>
      <c r="B214" s="458"/>
      <c r="C214" s="458"/>
      <c r="D214" s="458"/>
      <c r="E214" s="458"/>
      <c r="F214" s="458"/>
      <c r="G214" s="458"/>
      <c r="H214" s="458"/>
      <c r="I214" s="458"/>
      <c r="J214" s="458"/>
      <c r="K214" s="458"/>
      <c r="L214" s="458"/>
      <c r="M214" s="458"/>
      <c r="N214" s="458"/>
      <c r="O214" s="458"/>
      <c r="P214" s="458"/>
      <c r="Q214" s="458"/>
      <c r="R214" s="458"/>
      <c r="S214" s="458"/>
      <c r="T214" s="458"/>
      <c r="U214" s="458"/>
      <c r="V214" s="458"/>
      <c r="W214" s="458"/>
    </row>
    <row r="215" spans="1:23" ht="15.75" customHeight="1">
      <c r="A215" s="458"/>
      <c r="B215" s="458"/>
      <c r="C215" s="458"/>
      <c r="D215" s="458"/>
      <c r="E215" s="458"/>
      <c r="F215" s="458"/>
      <c r="G215" s="458"/>
      <c r="H215" s="458"/>
      <c r="I215" s="458"/>
      <c r="J215" s="458"/>
      <c r="K215" s="458"/>
      <c r="L215" s="458"/>
      <c r="M215" s="458"/>
      <c r="N215" s="458"/>
      <c r="O215" s="458"/>
      <c r="P215" s="458"/>
      <c r="Q215" s="458"/>
      <c r="R215" s="458"/>
      <c r="S215" s="458"/>
      <c r="T215" s="458"/>
      <c r="U215" s="458"/>
      <c r="V215" s="458"/>
      <c r="W215" s="458"/>
    </row>
    <row r="216" spans="1:23" ht="15.75" customHeight="1">
      <c r="A216" s="458"/>
      <c r="B216" s="458"/>
      <c r="C216" s="458"/>
      <c r="D216" s="458"/>
      <c r="E216" s="458"/>
      <c r="F216" s="458"/>
      <c r="G216" s="458"/>
      <c r="H216" s="458"/>
      <c r="I216" s="458"/>
      <c r="J216" s="458"/>
      <c r="K216" s="458"/>
      <c r="L216" s="458"/>
      <c r="M216" s="458"/>
      <c r="N216" s="458"/>
      <c r="O216" s="458"/>
      <c r="P216" s="458"/>
      <c r="Q216" s="458"/>
      <c r="R216" s="458"/>
      <c r="S216" s="458"/>
      <c r="T216" s="458"/>
      <c r="U216" s="458"/>
      <c r="V216" s="458"/>
      <c r="W216" s="458"/>
    </row>
    <row r="217" spans="1:23" ht="15.75" customHeight="1">
      <c r="A217" s="458"/>
      <c r="B217" s="458"/>
      <c r="C217" s="458"/>
      <c r="D217" s="458"/>
      <c r="E217" s="458"/>
      <c r="F217" s="458"/>
      <c r="G217" s="458"/>
      <c r="H217" s="458"/>
      <c r="I217" s="458"/>
      <c r="J217" s="458"/>
      <c r="K217" s="458"/>
      <c r="L217" s="458"/>
      <c r="M217" s="458"/>
      <c r="N217" s="458"/>
      <c r="O217" s="458"/>
      <c r="P217" s="458"/>
      <c r="Q217" s="458"/>
      <c r="R217" s="458"/>
      <c r="S217" s="458"/>
      <c r="T217" s="458"/>
      <c r="U217" s="458"/>
      <c r="V217" s="458"/>
      <c r="W217" s="458"/>
    </row>
    <row r="218" spans="1:23" ht="15.75" customHeight="1">
      <c r="A218" s="458"/>
      <c r="B218" s="458"/>
      <c r="C218" s="458"/>
      <c r="D218" s="458"/>
      <c r="E218" s="458"/>
      <c r="F218" s="458"/>
      <c r="G218" s="458"/>
      <c r="H218" s="458"/>
      <c r="I218" s="458"/>
      <c r="J218" s="458"/>
      <c r="K218" s="458"/>
      <c r="L218" s="458"/>
      <c r="M218" s="458"/>
      <c r="N218" s="458"/>
      <c r="O218" s="458"/>
      <c r="P218" s="458"/>
      <c r="Q218" s="458"/>
      <c r="R218" s="458"/>
      <c r="S218" s="458"/>
      <c r="T218" s="458"/>
      <c r="U218" s="458"/>
      <c r="V218" s="458"/>
      <c r="W218" s="458"/>
    </row>
    <row r="219" spans="1:23" ht="15.75" customHeight="1">
      <c r="A219" s="458"/>
      <c r="B219" s="458"/>
      <c r="C219" s="458"/>
      <c r="D219" s="458"/>
      <c r="E219" s="458"/>
      <c r="F219" s="458"/>
      <c r="G219" s="458"/>
      <c r="H219" s="458"/>
      <c r="I219" s="458"/>
      <c r="J219" s="458"/>
      <c r="K219" s="458"/>
      <c r="L219" s="458"/>
      <c r="M219" s="458"/>
      <c r="N219" s="458"/>
      <c r="O219" s="458"/>
      <c r="P219" s="458"/>
      <c r="Q219" s="458"/>
      <c r="R219" s="458"/>
      <c r="S219" s="458"/>
      <c r="T219" s="458"/>
      <c r="U219" s="458"/>
      <c r="V219" s="458"/>
      <c r="W219" s="458"/>
    </row>
    <row r="220" spans="1:23" ht="15.75" customHeight="1">
      <c r="A220" s="458"/>
      <c r="B220" s="458"/>
      <c r="C220" s="458"/>
      <c r="D220" s="458"/>
      <c r="E220" s="458"/>
      <c r="F220" s="458"/>
      <c r="G220" s="458"/>
      <c r="H220" s="458"/>
      <c r="I220" s="458"/>
      <c r="J220" s="458"/>
      <c r="K220" s="458"/>
      <c r="L220" s="458"/>
      <c r="M220" s="458"/>
      <c r="N220" s="458"/>
      <c r="O220" s="458"/>
      <c r="P220" s="458"/>
      <c r="Q220" s="458"/>
      <c r="R220" s="458"/>
      <c r="S220" s="458"/>
      <c r="T220" s="458"/>
      <c r="U220" s="458"/>
      <c r="V220" s="458"/>
      <c r="W220" s="458"/>
    </row>
    <row r="221" spans="1:23" ht="15.75" customHeight="1">
      <c r="A221" s="458"/>
      <c r="B221" s="458"/>
      <c r="C221" s="458"/>
      <c r="D221" s="458"/>
      <c r="E221" s="458"/>
      <c r="F221" s="458"/>
      <c r="G221" s="458"/>
      <c r="H221" s="458"/>
      <c r="I221" s="458"/>
      <c r="J221" s="458"/>
      <c r="K221" s="458"/>
      <c r="L221" s="458"/>
      <c r="M221" s="458"/>
      <c r="N221" s="458"/>
      <c r="O221" s="458"/>
      <c r="P221" s="458"/>
      <c r="Q221" s="458"/>
      <c r="R221" s="458"/>
      <c r="S221" s="458"/>
      <c r="T221" s="458"/>
      <c r="U221" s="458"/>
      <c r="V221" s="458"/>
      <c r="W221" s="458"/>
    </row>
    <row r="222" spans="1:23" ht="15.75" customHeight="1">
      <c r="A222" s="458"/>
      <c r="B222" s="458"/>
      <c r="C222" s="458"/>
      <c r="D222" s="458"/>
      <c r="E222" s="458"/>
      <c r="F222" s="458"/>
      <c r="G222" s="458"/>
      <c r="H222" s="458"/>
      <c r="I222" s="458"/>
      <c r="J222" s="458"/>
      <c r="K222" s="458"/>
      <c r="L222" s="458"/>
      <c r="M222" s="458"/>
      <c r="N222" s="458"/>
      <c r="O222" s="458"/>
      <c r="P222" s="458"/>
      <c r="Q222" s="458"/>
      <c r="R222" s="458"/>
      <c r="S222" s="458"/>
      <c r="T222" s="458"/>
      <c r="U222" s="458"/>
      <c r="V222" s="458"/>
      <c r="W222" s="458"/>
    </row>
    <row r="223" spans="1:23" ht="15.75" customHeight="1">
      <c r="A223" s="458"/>
      <c r="B223" s="458"/>
      <c r="C223" s="458"/>
      <c r="D223" s="458"/>
      <c r="E223" s="458"/>
      <c r="F223" s="458"/>
      <c r="G223" s="458"/>
      <c r="H223" s="458"/>
      <c r="I223" s="458"/>
      <c r="J223" s="458"/>
      <c r="K223" s="458"/>
      <c r="L223" s="458"/>
      <c r="M223" s="458"/>
      <c r="N223" s="458"/>
      <c r="O223" s="458"/>
      <c r="P223" s="458"/>
      <c r="Q223" s="458"/>
      <c r="R223" s="458"/>
      <c r="S223" s="458"/>
      <c r="T223" s="458"/>
      <c r="U223" s="458"/>
      <c r="V223" s="458"/>
      <c r="W223" s="458"/>
    </row>
    <row r="224" spans="1:23" ht="15.75" customHeight="1">
      <c r="A224" s="458"/>
      <c r="B224" s="458"/>
      <c r="C224" s="458"/>
      <c r="D224" s="458"/>
      <c r="E224" s="458"/>
      <c r="F224" s="458"/>
      <c r="G224" s="458"/>
      <c r="H224" s="458"/>
      <c r="I224" s="458"/>
      <c r="J224" s="458"/>
      <c r="K224" s="458"/>
      <c r="L224" s="458"/>
      <c r="M224" s="458"/>
      <c r="N224" s="458"/>
      <c r="O224" s="458"/>
      <c r="P224" s="458"/>
      <c r="Q224" s="458"/>
      <c r="R224" s="458"/>
      <c r="S224" s="458"/>
      <c r="T224" s="458"/>
      <c r="U224" s="458"/>
      <c r="V224" s="458"/>
      <c r="W224" s="458"/>
    </row>
    <row r="225" spans="1:23" ht="15.75" customHeight="1">
      <c r="A225" s="458"/>
      <c r="B225" s="458"/>
      <c r="C225" s="458"/>
      <c r="D225" s="458"/>
      <c r="E225" s="458"/>
      <c r="F225" s="458"/>
      <c r="G225" s="458"/>
      <c r="H225" s="458"/>
      <c r="I225" s="458"/>
      <c r="J225" s="458"/>
      <c r="K225" s="458"/>
      <c r="L225" s="458"/>
      <c r="M225" s="458"/>
      <c r="N225" s="458"/>
      <c r="O225" s="458"/>
      <c r="P225" s="458"/>
      <c r="Q225" s="458"/>
      <c r="R225" s="458"/>
      <c r="S225" s="458"/>
      <c r="T225" s="458"/>
      <c r="U225" s="458"/>
      <c r="V225" s="458"/>
      <c r="W225" s="458"/>
    </row>
    <row r="226" spans="1:23" ht="15.75" customHeight="1">
      <c r="A226" s="458"/>
      <c r="B226" s="458"/>
      <c r="C226" s="458"/>
      <c r="D226" s="458"/>
      <c r="E226" s="458"/>
      <c r="F226" s="458"/>
      <c r="G226" s="458"/>
      <c r="H226" s="458"/>
      <c r="I226" s="458"/>
      <c r="J226" s="458"/>
      <c r="K226" s="458"/>
      <c r="L226" s="458"/>
      <c r="M226" s="458"/>
      <c r="N226" s="458"/>
      <c r="O226" s="458"/>
      <c r="P226" s="458"/>
      <c r="Q226" s="458"/>
      <c r="R226" s="458"/>
      <c r="S226" s="458"/>
      <c r="T226" s="458"/>
      <c r="U226" s="458"/>
      <c r="V226" s="458"/>
      <c r="W226" s="458"/>
    </row>
    <row r="227" spans="1:23" ht="15.75" customHeight="1">
      <c r="A227" s="458"/>
      <c r="B227" s="458"/>
      <c r="C227" s="458"/>
      <c r="D227" s="458"/>
      <c r="E227" s="458"/>
      <c r="F227" s="458"/>
      <c r="G227" s="458"/>
      <c r="H227" s="458"/>
      <c r="I227" s="458"/>
      <c r="J227" s="458"/>
      <c r="K227" s="458"/>
      <c r="L227" s="458"/>
      <c r="M227" s="458"/>
      <c r="N227" s="458"/>
      <c r="O227" s="458"/>
      <c r="P227" s="458"/>
      <c r="Q227" s="458"/>
      <c r="R227" s="458"/>
      <c r="S227" s="458"/>
      <c r="T227" s="458"/>
      <c r="U227" s="458"/>
      <c r="V227" s="458"/>
      <c r="W227" s="458"/>
    </row>
    <row r="228" spans="1:23" ht="15.75" customHeight="1">
      <c r="A228" s="458"/>
      <c r="B228" s="458"/>
      <c r="C228" s="458"/>
      <c r="D228" s="458"/>
      <c r="E228" s="458"/>
      <c r="F228" s="458"/>
      <c r="G228" s="458"/>
      <c r="H228" s="458"/>
      <c r="I228" s="458"/>
      <c r="J228" s="458"/>
      <c r="K228" s="458"/>
      <c r="L228" s="458"/>
      <c r="M228" s="458"/>
      <c r="N228" s="458"/>
      <c r="O228" s="458"/>
      <c r="P228" s="458"/>
      <c r="Q228" s="458"/>
      <c r="R228" s="458"/>
      <c r="S228" s="458"/>
      <c r="T228" s="458"/>
      <c r="U228" s="458"/>
      <c r="V228" s="458"/>
      <c r="W228" s="458"/>
    </row>
    <row r="229" spans="1:23" ht="15.75" customHeight="1">
      <c r="A229" s="458"/>
      <c r="B229" s="458"/>
      <c r="C229" s="458"/>
      <c r="D229" s="458"/>
      <c r="E229" s="458"/>
      <c r="F229" s="458"/>
      <c r="G229" s="458"/>
      <c r="H229" s="458"/>
      <c r="I229" s="458"/>
      <c r="J229" s="458"/>
      <c r="K229" s="458"/>
      <c r="L229" s="458"/>
      <c r="M229" s="458"/>
      <c r="N229" s="458"/>
      <c r="O229" s="458"/>
      <c r="P229" s="458"/>
      <c r="Q229" s="458"/>
      <c r="R229" s="458"/>
      <c r="S229" s="458"/>
      <c r="T229" s="458"/>
      <c r="U229" s="458"/>
      <c r="V229" s="458"/>
      <c r="W229" s="458"/>
    </row>
    <row r="230" spans="1:23" ht="15.75" customHeight="1">
      <c r="A230" s="458"/>
      <c r="B230" s="458"/>
      <c r="C230" s="458"/>
      <c r="D230" s="458"/>
      <c r="E230" s="458"/>
      <c r="F230" s="458"/>
      <c r="G230" s="458"/>
      <c r="H230" s="458"/>
      <c r="I230" s="458"/>
      <c r="J230" s="458"/>
      <c r="K230" s="458"/>
      <c r="L230" s="458"/>
      <c r="M230" s="458"/>
      <c r="N230" s="458"/>
      <c r="O230" s="458"/>
      <c r="P230" s="458"/>
      <c r="Q230" s="458"/>
      <c r="R230" s="458"/>
      <c r="S230" s="458"/>
      <c r="T230" s="458"/>
      <c r="U230" s="458"/>
      <c r="V230" s="458"/>
      <c r="W230" s="458"/>
    </row>
    <row r="231" spans="1:23" ht="15.75" customHeight="1">
      <c r="A231" s="458"/>
      <c r="B231" s="458"/>
      <c r="C231" s="458"/>
      <c r="D231" s="458"/>
      <c r="E231" s="458"/>
      <c r="F231" s="458"/>
      <c r="G231" s="458"/>
      <c r="H231" s="458"/>
      <c r="I231" s="458"/>
      <c r="J231" s="458"/>
      <c r="K231" s="458"/>
      <c r="L231" s="458"/>
      <c r="M231" s="458"/>
      <c r="N231" s="458"/>
      <c r="O231" s="458"/>
      <c r="P231" s="458"/>
      <c r="Q231" s="458"/>
      <c r="R231" s="458"/>
      <c r="S231" s="458"/>
      <c r="T231" s="458"/>
      <c r="U231" s="458"/>
      <c r="V231" s="458"/>
      <c r="W231" s="458"/>
    </row>
    <row r="232" spans="1:23" ht="15.75" customHeight="1">
      <c r="A232" s="458"/>
      <c r="B232" s="458"/>
      <c r="C232" s="458"/>
      <c r="D232" s="458"/>
      <c r="E232" s="458"/>
      <c r="F232" s="458"/>
      <c r="G232" s="458"/>
      <c r="H232" s="458"/>
      <c r="I232" s="458"/>
      <c r="J232" s="458"/>
      <c r="K232" s="458"/>
      <c r="L232" s="458"/>
      <c r="M232" s="458"/>
      <c r="N232" s="458"/>
      <c r="O232" s="458"/>
      <c r="P232" s="458"/>
      <c r="Q232" s="458"/>
      <c r="R232" s="458"/>
      <c r="S232" s="458"/>
      <c r="T232" s="458"/>
      <c r="U232" s="458"/>
      <c r="V232" s="458"/>
      <c r="W232" s="458"/>
    </row>
    <row r="233" spans="1:23" ht="15.75" customHeight="1">
      <c r="A233" s="458"/>
      <c r="B233" s="458"/>
      <c r="C233" s="458"/>
      <c r="D233" s="458"/>
      <c r="E233" s="458"/>
      <c r="F233" s="458"/>
      <c r="G233" s="458"/>
      <c r="H233" s="458"/>
      <c r="I233" s="458"/>
      <c r="J233" s="458"/>
      <c r="K233" s="458"/>
      <c r="L233" s="458"/>
      <c r="M233" s="458"/>
      <c r="N233" s="458"/>
      <c r="O233" s="458"/>
      <c r="P233" s="458"/>
      <c r="Q233" s="458"/>
      <c r="R233" s="458"/>
      <c r="S233" s="458"/>
      <c r="T233" s="458"/>
      <c r="U233" s="458"/>
      <c r="V233" s="458"/>
      <c r="W233" s="458"/>
    </row>
    <row r="234" spans="1:23" ht="15.75" customHeight="1">
      <c r="A234" s="458"/>
      <c r="B234" s="458"/>
      <c r="C234" s="458"/>
      <c r="D234" s="458"/>
      <c r="E234" s="458"/>
      <c r="F234" s="458"/>
      <c r="G234" s="458"/>
      <c r="H234" s="458"/>
      <c r="I234" s="458"/>
      <c r="J234" s="458"/>
      <c r="K234" s="458"/>
      <c r="L234" s="458"/>
      <c r="M234" s="458"/>
      <c r="N234" s="458"/>
      <c r="O234" s="458"/>
      <c r="P234" s="458"/>
      <c r="Q234" s="458"/>
      <c r="R234" s="458"/>
      <c r="S234" s="458"/>
      <c r="T234" s="458"/>
      <c r="U234" s="458"/>
      <c r="V234" s="458"/>
      <c r="W234" s="458"/>
    </row>
    <row r="235" spans="1:23" ht="15.75" customHeight="1">
      <c r="A235" s="458"/>
      <c r="B235" s="458"/>
      <c r="C235" s="458"/>
      <c r="D235" s="458"/>
      <c r="E235" s="458"/>
      <c r="F235" s="458"/>
      <c r="G235" s="458"/>
      <c r="H235" s="458"/>
      <c r="I235" s="458"/>
      <c r="J235" s="458"/>
      <c r="K235" s="458"/>
      <c r="L235" s="458"/>
      <c r="M235" s="458"/>
      <c r="N235" s="458"/>
      <c r="O235" s="458"/>
      <c r="P235" s="458"/>
      <c r="Q235" s="458"/>
      <c r="R235" s="458"/>
      <c r="S235" s="458"/>
      <c r="T235" s="458"/>
      <c r="U235" s="458"/>
      <c r="V235" s="458"/>
      <c r="W235" s="458"/>
    </row>
    <row r="236" spans="1:23" ht="15.75" customHeight="1">
      <c r="A236" s="458"/>
      <c r="B236" s="458"/>
      <c r="C236" s="458"/>
      <c r="D236" s="458"/>
      <c r="E236" s="458"/>
      <c r="F236" s="458"/>
      <c r="G236" s="458"/>
      <c r="H236" s="458"/>
      <c r="I236" s="458"/>
      <c r="J236" s="458"/>
      <c r="K236" s="458"/>
      <c r="L236" s="458"/>
      <c r="M236" s="458"/>
      <c r="N236" s="458"/>
      <c r="O236" s="458"/>
      <c r="P236" s="458"/>
      <c r="Q236" s="458"/>
      <c r="R236" s="458"/>
      <c r="S236" s="458"/>
      <c r="T236" s="458"/>
      <c r="U236" s="458"/>
      <c r="V236" s="458"/>
      <c r="W236" s="458"/>
    </row>
    <row r="237" spans="1:23" ht="15.75" customHeight="1">
      <c r="A237" s="458"/>
      <c r="B237" s="458"/>
      <c r="C237" s="458"/>
      <c r="D237" s="458"/>
      <c r="E237" s="458"/>
      <c r="F237" s="458"/>
      <c r="G237" s="458"/>
      <c r="H237" s="458"/>
      <c r="I237" s="458"/>
      <c r="J237" s="458"/>
      <c r="K237" s="458"/>
      <c r="L237" s="458"/>
      <c r="M237" s="458"/>
      <c r="N237" s="458"/>
      <c r="O237" s="458"/>
      <c r="P237" s="458"/>
      <c r="Q237" s="458"/>
      <c r="R237" s="458"/>
      <c r="S237" s="458"/>
      <c r="T237" s="458"/>
      <c r="U237" s="458"/>
      <c r="V237" s="458"/>
      <c r="W237" s="458"/>
    </row>
    <row r="238" spans="1:23" ht="15.75" customHeight="1">
      <c r="A238" s="458"/>
      <c r="B238" s="458"/>
      <c r="C238" s="458"/>
      <c r="D238" s="458"/>
      <c r="E238" s="458"/>
      <c r="F238" s="458"/>
      <c r="G238" s="458"/>
      <c r="H238" s="458"/>
      <c r="I238" s="458"/>
      <c r="J238" s="458"/>
      <c r="K238" s="458"/>
      <c r="L238" s="458"/>
      <c r="M238" s="458"/>
      <c r="N238" s="458"/>
      <c r="O238" s="458"/>
      <c r="P238" s="458"/>
      <c r="Q238" s="458"/>
      <c r="R238" s="458"/>
      <c r="S238" s="458"/>
      <c r="T238" s="458"/>
      <c r="U238" s="458"/>
      <c r="V238" s="458"/>
      <c r="W238" s="458"/>
    </row>
    <row r="239" spans="1:23" ht="15.75" customHeight="1">
      <c r="A239" s="458"/>
      <c r="B239" s="458"/>
      <c r="C239" s="458"/>
      <c r="D239" s="458"/>
      <c r="E239" s="458"/>
      <c r="F239" s="458"/>
      <c r="G239" s="458"/>
      <c r="H239" s="458"/>
      <c r="I239" s="458"/>
      <c r="J239" s="458"/>
      <c r="K239" s="458"/>
      <c r="L239" s="458"/>
      <c r="M239" s="458"/>
      <c r="N239" s="458"/>
      <c r="O239" s="458"/>
      <c r="P239" s="458"/>
      <c r="Q239" s="458"/>
      <c r="R239" s="458"/>
      <c r="S239" s="458"/>
      <c r="T239" s="458"/>
      <c r="U239" s="458"/>
      <c r="V239" s="458"/>
      <c r="W239" s="458"/>
    </row>
    <row r="240" spans="1:23" ht="15.75" customHeight="1">
      <c r="A240" s="458"/>
      <c r="B240" s="458"/>
      <c r="C240" s="458"/>
      <c r="D240" s="458"/>
      <c r="E240" s="458"/>
      <c r="F240" s="458"/>
      <c r="G240" s="458"/>
      <c r="H240" s="458"/>
      <c r="I240" s="458"/>
      <c r="J240" s="458"/>
      <c r="K240" s="458"/>
      <c r="L240" s="458"/>
      <c r="M240" s="458"/>
      <c r="N240" s="458"/>
      <c r="O240" s="458"/>
      <c r="P240" s="458"/>
      <c r="Q240" s="458"/>
      <c r="R240" s="458"/>
      <c r="S240" s="458"/>
      <c r="T240" s="458"/>
      <c r="U240" s="458"/>
      <c r="V240" s="458"/>
      <c r="W240" s="458"/>
    </row>
    <row r="241" spans="1:23" ht="15.75" customHeight="1">
      <c r="A241" s="458"/>
      <c r="B241" s="458"/>
      <c r="C241" s="458"/>
      <c r="D241" s="458"/>
      <c r="E241" s="458"/>
      <c r="F241" s="458"/>
      <c r="G241" s="458"/>
      <c r="H241" s="458"/>
      <c r="I241" s="458"/>
      <c r="J241" s="458"/>
      <c r="K241" s="458"/>
      <c r="L241" s="458"/>
      <c r="M241" s="458"/>
      <c r="N241" s="458"/>
      <c r="O241" s="458"/>
      <c r="P241" s="458"/>
      <c r="Q241" s="458"/>
      <c r="R241" s="458"/>
      <c r="S241" s="458"/>
      <c r="T241" s="458"/>
      <c r="U241" s="458"/>
      <c r="V241" s="458"/>
      <c r="W241" s="458"/>
    </row>
    <row r="242" spans="1:23" ht="15.75" customHeight="1">
      <c r="A242" s="458"/>
      <c r="B242" s="458"/>
      <c r="C242" s="458"/>
      <c r="D242" s="458"/>
      <c r="E242" s="458"/>
      <c r="F242" s="458"/>
      <c r="G242" s="458"/>
      <c r="H242" s="458"/>
      <c r="I242" s="458"/>
      <c r="J242" s="458"/>
      <c r="K242" s="458"/>
      <c r="L242" s="458"/>
      <c r="M242" s="458"/>
      <c r="N242" s="458"/>
      <c r="O242" s="458"/>
      <c r="P242" s="458"/>
      <c r="Q242" s="458"/>
      <c r="R242" s="458"/>
      <c r="S242" s="458"/>
      <c r="T242" s="458"/>
      <c r="U242" s="458"/>
      <c r="V242" s="458"/>
      <c r="W242" s="458"/>
    </row>
    <row r="243" spans="1:23" ht="15.75" customHeight="1">
      <c r="A243" s="458"/>
      <c r="B243" s="458"/>
      <c r="C243" s="458"/>
      <c r="D243" s="458"/>
      <c r="E243" s="458"/>
      <c r="F243" s="458"/>
      <c r="G243" s="458"/>
      <c r="H243" s="458"/>
      <c r="I243" s="458"/>
      <c r="J243" s="458"/>
      <c r="K243" s="458"/>
      <c r="L243" s="458"/>
      <c r="M243" s="458"/>
      <c r="N243" s="458"/>
      <c r="O243" s="458"/>
      <c r="P243" s="458"/>
      <c r="Q243" s="458"/>
      <c r="R243" s="458"/>
      <c r="S243" s="458"/>
      <c r="T243" s="458"/>
      <c r="U243" s="458"/>
      <c r="V243" s="458"/>
      <c r="W243" s="458"/>
    </row>
    <row r="244" spans="1:23" ht="15.75" customHeight="1">
      <c r="A244" s="458"/>
      <c r="B244" s="458"/>
      <c r="C244" s="458"/>
      <c r="D244" s="458"/>
      <c r="E244" s="458"/>
      <c r="F244" s="458"/>
      <c r="G244" s="458"/>
      <c r="H244" s="458"/>
      <c r="I244" s="458"/>
      <c r="J244" s="458"/>
      <c r="K244" s="458"/>
      <c r="L244" s="458"/>
      <c r="M244" s="458"/>
      <c r="N244" s="458"/>
      <c r="O244" s="458"/>
      <c r="P244" s="458"/>
      <c r="Q244" s="458"/>
      <c r="R244" s="458"/>
      <c r="S244" s="458"/>
      <c r="T244" s="458"/>
      <c r="U244" s="458"/>
      <c r="V244" s="458"/>
      <c r="W244" s="458"/>
    </row>
    <row r="245" spans="1:23" ht="15.75" customHeight="1">
      <c r="A245" s="458"/>
      <c r="B245" s="458"/>
      <c r="C245" s="458"/>
      <c r="D245" s="458"/>
      <c r="E245" s="458"/>
      <c r="F245" s="458"/>
      <c r="G245" s="458"/>
      <c r="H245" s="458"/>
      <c r="I245" s="458"/>
      <c r="J245" s="458"/>
      <c r="K245" s="458"/>
      <c r="L245" s="458"/>
      <c r="M245" s="458"/>
      <c r="N245" s="458"/>
      <c r="O245" s="458"/>
      <c r="P245" s="458"/>
      <c r="Q245" s="458"/>
      <c r="R245" s="458"/>
      <c r="S245" s="458"/>
      <c r="T245" s="458"/>
      <c r="U245" s="458"/>
      <c r="V245" s="458"/>
      <c r="W245" s="458"/>
    </row>
    <row r="246" spans="1:23" ht="15.75" customHeight="1">
      <c r="A246" s="458"/>
      <c r="B246" s="458"/>
      <c r="C246" s="458"/>
      <c r="D246" s="458"/>
      <c r="E246" s="458"/>
      <c r="F246" s="458"/>
      <c r="G246" s="458"/>
      <c r="H246" s="458"/>
      <c r="I246" s="458"/>
      <c r="J246" s="458"/>
      <c r="K246" s="458"/>
      <c r="L246" s="458"/>
      <c r="M246" s="458"/>
      <c r="N246" s="458"/>
      <c r="O246" s="458"/>
      <c r="P246" s="458"/>
      <c r="Q246" s="458"/>
      <c r="R246" s="458"/>
      <c r="S246" s="458"/>
      <c r="T246" s="458"/>
      <c r="U246" s="458"/>
      <c r="V246" s="458"/>
      <c r="W246" s="458"/>
    </row>
    <row r="247" spans="1:23" ht="15.75" customHeight="1">
      <c r="A247" s="458"/>
      <c r="B247" s="458"/>
      <c r="C247" s="458"/>
      <c r="D247" s="458"/>
      <c r="E247" s="458"/>
      <c r="F247" s="458"/>
      <c r="G247" s="458"/>
      <c r="H247" s="458"/>
      <c r="I247" s="458"/>
      <c r="J247" s="458"/>
      <c r="K247" s="458"/>
      <c r="L247" s="458"/>
      <c r="M247" s="458"/>
      <c r="N247" s="458"/>
      <c r="O247" s="458"/>
      <c r="P247" s="458"/>
      <c r="Q247" s="458"/>
      <c r="R247" s="458"/>
      <c r="S247" s="458"/>
      <c r="T247" s="458"/>
      <c r="U247" s="458"/>
      <c r="V247" s="458"/>
      <c r="W247" s="458"/>
    </row>
    <row r="248" spans="1:23" ht="15.75" customHeight="1">
      <c r="A248" s="458"/>
      <c r="B248" s="458"/>
      <c r="C248" s="458"/>
      <c r="D248" s="458"/>
      <c r="E248" s="458"/>
      <c r="F248" s="458"/>
      <c r="G248" s="458"/>
      <c r="H248" s="458"/>
      <c r="I248" s="458"/>
      <c r="J248" s="458"/>
      <c r="K248" s="458"/>
      <c r="L248" s="458"/>
      <c r="M248" s="458"/>
      <c r="N248" s="458"/>
      <c r="O248" s="458"/>
      <c r="P248" s="458"/>
      <c r="Q248" s="458"/>
      <c r="R248" s="458"/>
      <c r="S248" s="458"/>
      <c r="T248" s="458"/>
      <c r="U248" s="458"/>
      <c r="V248" s="458"/>
      <c r="W248" s="458"/>
    </row>
    <row r="249" spans="1:23" ht="15.75" customHeight="1">
      <c r="A249" s="458"/>
      <c r="B249" s="458"/>
      <c r="C249" s="458"/>
      <c r="D249" s="458"/>
      <c r="E249" s="458"/>
      <c r="F249" s="458"/>
      <c r="G249" s="458"/>
      <c r="H249" s="458"/>
      <c r="I249" s="458"/>
      <c r="J249" s="458"/>
      <c r="K249" s="458"/>
      <c r="L249" s="458"/>
      <c r="M249" s="458"/>
      <c r="N249" s="458"/>
      <c r="O249" s="458"/>
      <c r="P249" s="458"/>
      <c r="Q249" s="458"/>
      <c r="R249" s="458"/>
      <c r="S249" s="458"/>
      <c r="T249" s="458"/>
      <c r="U249" s="458"/>
      <c r="V249" s="458"/>
      <c r="W249" s="458"/>
    </row>
    <row r="250" spans="1:23" ht="15.75" customHeight="1">
      <c r="A250" s="458"/>
      <c r="B250" s="458"/>
      <c r="C250" s="458"/>
      <c r="D250" s="458"/>
      <c r="E250" s="458"/>
      <c r="F250" s="458"/>
      <c r="G250" s="458"/>
      <c r="H250" s="458"/>
      <c r="I250" s="458"/>
      <c r="J250" s="458"/>
      <c r="K250" s="458"/>
      <c r="L250" s="458"/>
      <c r="M250" s="458"/>
      <c r="N250" s="458"/>
      <c r="O250" s="458"/>
      <c r="P250" s="458"/>
      <c r="Q250" s="458"/>
      <c r="R250" s="458"/>
      <c r="S250" s="458"/>
      <c r="T250" s="458"/>
      <c r="U250" s="458"/>
      <c r="V250" s="458"/>
      <c r="W250" s="458"/>
    </row>
    <row r="251" spans="1:23" ht="15.75" customHeight="1">
      <c r="A251" s="458"/>
      <c r="B251" s="458"/>
      <c r="C251" s="458"/>
      <c r="D251" s="458"/>
      <c r="E251" s="458"/>
      <c r="F251" s="458"/>
      <c r="G251" s="458"/>
      <c r="H251" s="458"/>
      <c r="I251" s="458"/>
      <c r="J251" s="458"/>
      <c r="K251" s="458"/>
      <c r="L251" s="458"/>
      <c r="M251" s="458"/>
      <c r="N251" s="458"/>
      <c r="O251" s="458"/>
      <c r="P251" s="458"/>
      <c r="Q251" s="458"/>
      <c r="R251" s="458"/>
      <c r="S251" s="458"/>
      <c r="T251" s="458"/>
      <c r="U251" s="458"/>
      <c r="V251" s="458"/>
      <c r="W251" s="458"/>
    </row>
    <row r="252" spans="1:23" ht="15.75" customHeight="1">
      <c r="A252" s="458"/>
      <c r="B252" s="458"/>
      <c r="C252" s="458"/>
      <c r="D252" s="458"/>
      <c r="E252" s="458"/>
      <c r="F252" s="458"/>
      <c r="G252" s="458"/>
      <c r="H252" s="458"/>
      <c r="I252" s="458"/>
      <c r="J252" s="458"/>
      <c r="K252" s="458"/>
      <c r="L252" s="458"/>
      <c r="M252" s="458"/>
      <c r="N252" s="458"/>
      <c r="O252" s="458"/>
      <c r="P252" s="458"/>
      <c r="Q252" s="458"/>
      <c r="R252" s="458"/>
      <c r="S252" s="458"/>
      <c r="T252" s="458"/>
      <c r="U252" s="458"/>
      <c r="V252" s="458"/>
      <c r="W252" s="458"/>
    </row>
    <row r="253" spans="1:23" ht="15.75" customHeight="1">
      <c r="A253" s="458"/>
      <c r="B253" s="458"/>
      <c r="C253" s="458"/>
      <c r="D253" s="458"/>
      <c r="E253" s="458"/>
      <c r="F253" s="458"/>
      <c r="G253" s="458"/>
      <c r="H253" s="458"/>
      <c r="I253" s="458"/>
      <c r="J253" s="458"/>
      <c r="K253" s="458"/>
      <c r="L253" s="458"/>
      <c r="M253" s="458"/>
      <c r="N253" s="458"/>
      <c r="O253" s="458"/>
      <c r="P253" s="458"/>
      <c r="Q253" s="458"/>
      <c r="R253" s="458"/>
      <c r="S253" s="458"/>
      <c r="T253" s="458"/>
      <c r="U253" s="458"/>
      <c r="V253" s="458"/>
      <c r="W253" s="458"/>
    </row>
    <row r="254" spans="1:23" ht="15.75" customHeight="1">
      <c r="A254" s="458"/>
      <c r="B254" s="458"/>
      <c r="C254" s="458"/>
      <c r="D254" s="458"/>
      <c r="E254" s="458"/>
      <c r="F254" s="458"/>
      <c r="G254" s="458"/>
      <c r="H254" s="458"/>
      <c r="I254" s="458"/>
      <c r="J254" s="458"/>
      <c r="K254" s="458"/>
      <c r="L254" s="458"/>
      <c r="M254" s="458"/>
      <c r="N254" s="458"/>
      <c r="O254" s="458"/>
      <c r="P254" s="458"/>
      <c r="Q254" s="458"/>
      <c r="R254" s="458"/>
      <c r="S254" s="458"/>
      <c r="T254" s="458"/>
      <c r="U254" s="458"/>
      <c r="V254" s="458"/>
      <c r="W254" s="458"/>
    </row>
    <row r="255" spans="1:23" ht="15.75" customHeight="1">
      <c r="A255" s="458"/>
      <c r="B255" s="458"/>
      <c r="C255" s="458"/>
      <c r="D255" s="458"/>
      <c r="E255" s="458"/>
      <c r="F255" s="458"/>
      <c r="G255" s="458"/>
      <c r="H255" s="458"/>
      <c r="I255" s="458"/>
      <c r="J255" s="458"/>
      <c r="K255" s="458"/>
      <c r="L255" s="458"/>
      <c r="M255" s="458"/>
      <c r="N255" s="458"/>
      <c r="O255" s="458"/>
      <c r="P255" s="458"/>
      <c r="Q255" s="458"/>
      <c r="R255" s="458"/>
      <c r="S255" s="458"/>
      <c r="T255" s="458"/>
      <c r="U255" s="458"/>
      <c r="V255" s="458"/>
      <c r="W255" s="458"/>
    </row>
    <row r="256" spans="1:23" ht="15.75" customHeight="1">
      <c r="A256" s="458"/>
      <c r="B256" s="458"/>
      <c r="C256" s="458"/>
      <c r="D256" s="458"/>
      <c r="E256" s="458"/>
      <c r="F256" s="458"/>
      <c r="G256" s="458"/>
      <c r="H256" s="458"/>
      <c r="I256" s="458"/>
      <c r="J256" s="458"/>
      <c r="K256" s="458"/>
      <c r="L256" s="458"/>
      <c r="M256" s="458"/>
      <c r="N256" s="458"/>
      <c r="O256" s="458"/>
      <c r="P256" s="458"/>
      <c r="Q256" s="458"/>
      <c r="R256" s="458"/>
      <c r="S256" s="458"/>
      <c r="T256" s="458"/>
      <c r="U256" s="458"/>
      <c r="V256" s="458"/>
      <c r="W256" s="458"/>
    </row>
    <row r="257" spans="1:23" ht="15.75" customHeight="1">
      <c r="A257" s="458"/>
      <c r="B257" s="458"/>
      <c r="C257" s="458"/>
      <c r="D257" s="458"/>
      <c r="E257" s="458"/>
      <c r="F257" s="458"/>
      <c r="G257" s="458"/>
      <c r="H257" s="458"/>
      <c r="I257" s="458"/>
      <c r="J257" s="458"/>
      <c r="K257" s="458"/>
      <c r="L257" s="458"/>
      <c r="M257" s="458"/>
      <c r="N257" s="458"/>
      <c r="O257" s="458"/>
      <c r="P257" s="458"/>
      <c r="Q257" s="458"/>
      <c r="R257" s="458"/>
      <c r="S257" s="458"/>
      <c r="T257" s="458"/>
      <c r="U257" s="458"/>
      <c r="V257" s="458"/>
      <c r="W257" s="458"/>
    </row>
    <row r="258" spans="1:23" ht="15.75" customHeight="1">
      <c r="A258" s="458"/>
      <c r="B258" s="458"/>
      <c r="C258" s="458"/>
      <c r="D258" s="458"/>
      <c r="E258" s="458"/>
      <c r="F258" s="458"/>
      <c r="G258" s="458"/>
      <c r="H258" s="458"/>
      <c r="I258" s="458"/>
      <c r="J258" s="458"/>
      <c r="K258" s="458"/>
      <c r="L258" s="458"/>
      <c r="M258" s="458"/>
      <c r="N258" s="458"/>
      <c r="O258" s="458"/>
      <c r="P258" s="458"/>
      <c r="Q258" s="458"/>
      <c r="R258" s="458"/>
      <c r="S258" s="458"/>
      <c r="T258" s="458"/>
      <c r="U258" s="458"/>
      <c r="V258" s="458"/>
      <c r="W258" s="458"/>
    </row>
    <row r="259" spans="1:23" ht="15.75" customHeight="1">
      <c r="A259" s="458"/>
      <c r="B259" s="458"/>
      <c r="C259" s="458"/>
      <c r="D259" s="458"/>
      <c r="E259" s="458"/>
      <c r="F259" s="458"/>
      <c r="G259" s="458"/>
      <c r="H259" s="458"/>
      <c r="I259" s="458"/>
      <c r="J259" s="458"/>
      <c r="K259" s="458"/>
      <c r="L259" s="458"/>
      <c r="M259" s="458"/>
      <c r="N259" s="458"/>
      <c r="O259" s="458"/>
      <c r="P259" s="458"/>
      <c r="Q259" s="458"/>
      <c r="R259" s="458"/>
      <c r="S259" s="458"/>
      <c r="T259" s="458"/>
      <c r="U259" s="458"/>
      <c r="V259" s="458"/>
      <c r="W259" s="458"/>
    </row>
    <row r="260" spans="1:23" ht="15.75" customHeight="1">
      <c r="A260" s="458"/>
      <c r="B260" s="458"/>
      <c r="C260" s="458"/>
      <c r="D260" s="458"/>
      <c r="E260" s="458"/>
      <c r="F260" s="458"/>
      <c r="G260" s="458"/>
      <c r="H260" s="458"/>
      <c r="I260" s="458"/>
      <c r="J260" s="458"/>
      <c r="K260" s="458"/>
      <c r="L260" s="458"/>
      <c r="M260" s="458"/>
      <c r="N260" s="458"/>
      <c r="O260" s="458"/>
      <c r="P260" s="458"/>
      <c r="Q260" s="458"/>
      <c r="R260" s="458"/>
      <c r="S260" s="458"/>
      <c r="T260" s="458"/>
      <c r="U260" s="458"/>
      <c r="V260" s="458"/>
      <c r="W260" s="458"/>
    </row>
    <row r="261" spans="1:23" ht="15.75" customHeight="1">
      <c r="A261" s="458"/>
      <c r="B261" s="458"/>
      <c r="C261" s="458"/>
      <c r="D261" s="458"/>
      <c r="E261" s="458"/>
      <c r="F261" s="458"/>
      <c r="G261" s="458"/>
      <c r="H261" s="458"/>
      <c r="I261" s="458"/>
      <c r="J261" s="458"/>
      <c r="K261" s="458"/>
      <c r="L261" s="458"/>
      <c r="M261" s="458"/>
      <c r="N261" s="458"/>
      <c r="O261" s="458"/>
      <c r="P261" s="458"/>
      <c r="Q261" s="458"/>
      <c r="R261" s="458"/>
      <c r="S261" s="458"/>
      <c r="T261" s="458"/>
      <c r="U261" s="458"/>
      <c r="V261" s="458"/>
      <c r="W261" s="458"/>
    </row>
    <row r="262" spans="1:23" ht="15.75" customHeight="1">
      <c r="A262" s="458"/>
      <c r="B262" s="458"/>
      <c r="C262" s="458"/>
      <c r="D262" s="458"/>
      <c r="E262" s="458"/>
      <c r="F262" s="458"/>
      <c r="G262" s="458"/>
      <c r="H262" s="458"/>
      <c r="I262" s="458"/>
      <c r="J262" s="458"/>
      <c r="K262" s="458"/>
      <c r="L262" s="458"/>
      <c r="M262" s="458"/>
      <c r="N262" s="458"/>
      <c r="O262" s="458"/>
      <c r="P262" s="458"/>
      <c r="Q262" s="458"/>
      <c r="R262" s="458"/>
      <c r="S262" s="458"/>
      <c r="T262" s="458"/>
      <c r="U262" s="458"/>
      <c r="V262" s="458"/>
      <c r="W262" s="458"/>
    </row>
    <row r="263" spans="1:23" ht="15.75" customHeight="1">
      <c r="A263" s="458"/>
      <c r="B263" s="458"/>
      <c r="C263" s="458"/>
      <c r="D263" s="458"/>
      <c r="E263" s="458"/>
      <c r="F263" s="458"/>
      <c r="G263" s="458"/>
      <c r="H263" s="458"/>
      <c r="I263" s="458"/>
      <c r="J263" s="458"/>
      <c r="K263" s="458"/>
      <c r="L263" s="458"/>
      <c r="M263" s="458"/>
      <c r="N263" s="458"/>
      <c r="O263" s="458"/>
      <c r="P263" s="458"/>
      <c r="Q263" s="458"/>
      <c r="R263" s="458"/>
      <c r="S263" s="458"/>
      <c r="T263" s="458"/>
      <c r="U263" s="458"/>
      <c r="V263" s="458"/>
      <c r="W263" s="458"/>
    </row>
    <row r="264" spans="1:23" ht="15.75" customHeight="1">
      <c r="A264" s="458"/>
      <c r="B264" s="458"/>
      <c r="C264" s="458"/>
      <c r="D264" s="458"/>
      <c r="E264" s="458"/>
      <c r="F264" s="458"/>
      <c r="G264" s="458"/>
      <c r="H264" s="458"/>
      <c r="I264" s="458"/>
      <c r="J264" s="458"/>
      <c r="K264" s="458"/>
      <c r="L264" s="458"/>
      <c r="M264" s="458"/>
      <c r="N264" s="458"/>
      <c r="O264" s="458"/>
      <c r="P264" s="458"/>
      <c r="Q264" s="458"/>
      <c r="R264" s="458"/>
      <c r="S264" s="458"/>
      <c r="T264" s="458"/>
      <c r="U264" s="458"/>
      <c r="V264" s="458"/>
      <c r="W264" s="458"/>
    </row>
    <row r="265" spans="1:23" ht="15.75" customHeight="1">
      <c r="A265" s="458"/>
      <c r="B265" s="458"/>
      <c r="C265" s="458"/>
      <c r="D265" s="458"/>
      <c r="E265" s="458"/>
      <c r="F265" s="458"/>
      <c r="G265" s="458"/>
      <c r="H265" s="458"/>
      <c r="I265" s="458"/>
      <c r="J265" s="458"/>
      <c r="K265" s="458"/>
      <c r="L265" s="458"/>
      <c r="M265" s="458"/>
      <c r="N265" s="458"/>
      <c r="O265" s="458"/>
      <c r="P265" s="458"/>
      <c r="Q265" s="458"/>
      <c r="R265" s="458"/>
      <c r="S265" s="458"/>
      <c r="T265" s="458"/>
      <c r="U265" s="458"/>
      <c r="V265" s="458"/>
      <c r="W265" s="458"/>
    </row>
    <row r="266" spans="1:23" ht="15.75" customHeight="1">
      <c r="A266" s="458"/>
      <c r="B266" s="458"/>
      <c r="C266" s="458"/>
      <c r="D266" s="458"/>
      <c r="E266" s="458"/>
      <c r="F266" s="458"/>
      <c r="G266" s="458"/>
      <c r="H266" s="458"/>
      <c r="I266" s="458"/>
      <c r="J266" s="458"/>
      <c r="K266" s="458"/>
      <c r="L266" s="458"/>
      <c r="M266" s="458"/>
      <c r="N266" s="458"/>
      <c r="O266" s="458"/>
      <c r="P266" s="458"/>
      <c r="Q266" s="458"/>
      <c r="R266" s="458"/>
      <c r="S266" s="458"/>
      <c r="T266" s="458"/>
      <c r="U266" s="458"/>
      <c r="V266" s="458"/>
      <c r="W266" s="458"/>
    </row>
    <row r="267" spans="1:23" ht="15.75" customHeight="1">
      <c r="A267" s="458"/>
      <c r="B267" s="458"/>
      <c r="C267" s="458"/>
      <c r="D267" s="458"/>
      <c r="E267" s="458"/>
      <c r="F267" s="458"/>
      <c r="G267" s="458"/>
      <c r="H267" s="458"/>
      <c r="I267" s="458"/>
      <c r="J267" s="458"/>
      <c r="K267" s="458"/>
      <c r="L267" s="458"/>
      <c r="M267" s="458"/>
      <c r="N267" s="458"/>
      <c r="O267" s="458"/>
      <c r="P267" s="458"/>
      <c r="Q267" s="458"/>
      <c r="R267" s="458"/>
      <c r="S267" s="458"/>
      <c r="T267" s="458"/>
      <c r="U267" s="458"/>
      <c r="V267" s="458"/>
      <c r="W267" s="458"/>
    </row>
    <row r="268" spans="1:23" ht="15.75" customHeight="1">
      <c r="A268" s="458"/>
      <c r="B268" s="458"/>
      <c r="C268" s="458"/>
      <c r="D268" s="458"/>
      <c r="E268" s="458"/>
      <c r="F268" s="458"/>
      <c r="G268" s="458"/>
      <c r="H268" s="458"/>
      <c r="I268" s="458"/>
      <c r="J268" s="458"/>
      <c r="K268" s="458"/>
      <c r="L268" s="458"/>
      <c r="M268" s="458"/>
      <c r="N268" s="458"/>
      <c r="O268" s="458"/>
      <c r="P268" s="458"/>
      <c r="Q268" s="458"/>
      <c r="R268" s="458"/>
      <c r="S268" s="458"/>
      <c r="T268" s="458"/>
      <c r="U268" s="458"/>
      <c r="V268" s="458"/>
      <c r="W268" s="458"/>
    </row>
    <row r="269" spans="1:23" ht="15.75" customHeight="1">
      <c r="A269" s="458"/>
      <c r="B269" s="458"/>
      <c r="C269" s="458"/>
      <c r="D269" s="458"/>
      <c r="E269" s="458"/>
      <c r="F269" s="458"/>
      <c r="G269" s="458"/>
      <c r="H269" s="458"/>
      <c r="I269" s="458"/>
      <c r="J269" s="458"/>
      <c r="K269" s="458"/>
      <c r="L269" s="458"/>
      <c r="M269" s="458"/>
      <c r="N269" s="458"/>
      <c r="O269" s="458"/>
      <c r="P269" s="458"/>
      <c r="Q269" s="458"/>
      <c r="R269" s="458"/>
      <c r="S269" s="458"/>
      <c r="T269" s="458"/>
      <c r="U269" s="458"/>
      <c r="V269" s="458"/>
      <c r="W269" s="458"/>
    </row>
    <row r="270" spans="1:23" ht="15.75" customHeight="1">
      <c r="A270" s="458"/>
      <c r="B270" s="458"/>
      <c r="C270" s="458"/>
      <c r="D270" s="458"/>
      <c r="E270" s="458"/>
      <c r="F270" s="458"/>
      <c r="G270" s="458"/>
      <c r="H270" s="458"/>
      <c r="I270" s="458"/>
      <c r="J270" s="458"/>
      <c r="K270" s="458"/>
      <c r="L270" s="458"/>
      <c r="M270" s="458"/>
      <c r="N270" s="458"/>
      <c r="O270" s="458"/>
      <c r="P270" s="458"/>
      <c r="Q270" s="458"/>
      <c r="R270" s="458"/>
      <c r="S270" s="458"/>
      <c r="T270" s="458"/>
      <c r="U270" s="458"/>
      <c r="V270" s="458"/>
      <c r="W270" s="458"/>
    </row>
    <row r="271" spans="1:23" ht="15.75" customHeight="1">
      <c r="A271" s="458"/>
      <c r="B271" s="458"/>
      <c r="C271" s="458"/>
      <c r="D271" s="458"/>
      <c r="E271" s="458"/>
      <c r="F271" s="458"/>
      <c r="G271" s="458"/>
      <c r="H271" s="458"/>
      <c r="I271" s="458"/>
      <c r="J271" s="458"/>
      <c r="K271" s="458"/>
      <c r="L271" s="458"/>
      <c r="M271" s="458"/>
      <c r="N271" s="458"/>
      <c r="O271" s="458"/>
      <c r="P271" s="458"/>
      <c r="Q271" s="458"/>
      <c r="R271" s="458"/>
      <c r="S271" s="458"/>
      <c r="T271" s="458"/>
      <c r="U271" s="458"/>
      <c r="V271" s="458"/>
      <c r="W271" s="458"/>
    </row>
    <row r="272" spans="1:23" ht="15.75" customHeight="1">
      <c r="A272" s="458"/>
      <c r="B272" s="458"/>
      <c r="C272" s="458"/>
      <c r="D272" s="458"/>
      <c r="E272" s="458"/>
      <c r="F272" s="458"/>
      <c r="G272" s="458"/>
      <c r="H272" s="458"/>
      <c r="I272" s="458"/>
      <c r="J272" s="458"/>
      <c r="K272" s="458"/>
      <c r="L272" s="458"/>
      <c r="M272" s="458"/>
      <c r="N272" s="458"/>
      <c r="O272" s="458"/>
      <c r="P272" s="458"/>
      <c r="Q272" s="458"/>
      <c r="R272" s="458"/>
      <c r="S272" s="458"/>
      <c r="T272" s="458"/>
      <c r="U272" s="458"/>
      <c r="V272" s="458"/>
      <c r="W272" s="458"/>
    </row>
    <row r="273" spans="1:23" ht="15.75" customHeight="1">
      <c r="A273" s="458"/>
      <c r="B273" s="458"/>
      <c r="C273" s="458"/>
      <c r="D273" s="458"/>
      <c r="E273" s="458"/>
      <c r="F273" s="458"/>
      <c r="G273" s="458"/>
      <c r="H273" s="458"/>
      <c r="I273" s="458"/>
      <c r="J273" s="458"/>
      <c r="K273" s="458"/>
      <c r="L273" s="458"/>
      <c r="M273" s="458"/>
      <c r="N273" s="458"/>
      <c r="O273" s="458"/>
      <c r="P273" s="458"/>
      <c r="Q273" s="458"/>
      <c r="R273" s="458"/>
      <c r="S273" s="458"/>
      <c r="T273" s="458"/>
      <c r="U273" s="458"/>
      <c r="V273" s="458"/>
      <c r="W273" s="458"/>
    </row>
    <row r="274" spans="1:23" ht="15.75" customHeight="1">
      <c r="A274" s="458"/>
      <c r="B274" s="458"/>
      <c r="C274" s="458"/>
      <c r="D274" s="458"/>
      <c r="E274" s="458"/>
      <c r="F274" s="458"/>
      <c r="G274" s="458"/>
      <c r="H274" s="458"/>
      <c r="I274" s="458"/>
      <c r="J274" s="458"/>
      <c r="K274" s="458"/>
      <c r="L274" s="458"/>
      <c r="M274" s="458"/>
      <c r="N274" s="458"/>
      <c r="O274" s="458"/>
      <c r="P274" s="458"/>
      <c r="Q274" s="458"/>
      <c r="R274" s="458"/>
      <c r="S274" s="458"/>
      <c r="T274" s="458"/>
      <c r="U274" s="458"/>
      <c r="V274" s="458"/>
      <c r="W274" s="458"/>
    </row>
    <row r="275" spans="1:23" ht="15.75" customHeight="1">
      <c r="A275" s="458"/>
      <c r="B275" s="458"/>
      <c r="C275" s="458"/>
      <c r="D275" s="458"/>
      <c r="E275" s="458"/>
      <c r="F275" s="458"/>
      <c r="G275" s="458"/>
      <c r="H275" s="458"/>
      <c r="I275" s="458"/>
      <c r="J275" s="458"/>
      <c r="K275" s="458"/>
      <c r="L275" s="458"/>
      <c r="M275" s="458"/>
      <c r="N275" s="458"/>
      <c r="O275" s="458"/>
      <c r="P275" s="458"/>
      <c r="Q275" s="458"/>
      <c r="R275" s="458"/>
      <c r="S275" s="458"/>
      <c r="T275" s="458"/>
      <c r="U275" s="458"/>
      <c r="V275" s="458"/>
      <c r="W275" s="458"/>
    </row>
    <row r="276" spans="1:23" ht="15.75" customHeight="1">
      <c r="A276" s="458"/>
      <c r="B276" s="458"/>
      <c r="C276" s="458"/>
      <c r="D276" s="458"/>
      <c r="E276" s="458"/>
      <c r="F276" s="458"/>
      <c r="G276" s="458"/>
      <c r="H276" s="458"/>
      <c r="I276" s="458"/>
      <c r="J276" s="458"/>
      <c r="K276" s="458"/>
      <c r="L276" s="458"/>
      <c r="M276" s="458"/>
      <c r="N276" s="458"/>
      <c r="O276" s="458"/>
      <c r="P276" s="458"/>
      <c r="Q276" s="458"/>
      <c r="R276" s="458"/>
      <c r="S276" s="458"/>
      <c r="T276" s="458"/>
      <c r="U276" s="458"/>
      <c r="V276" s="458"/>
      <c r="W276" s="458"/>
    </row>
    <row r="277" spans="1:23" ht="15.75" customHeight="1">
      <c r="A277" s="458"/>
      <c r="B277" s="458"/>
      <c r="C277" s="458"/>
      <c r="D277" s="458"/>
      <c r="E277" s="458"/>
      <c r="F277" s="458"/>
      <c r="G277" s="458"/>
      <c r="H277" s="458"/>
      <c r="I277" s="458"/>
      <c r="J277" s="458"/>
      <c r="K277" s="458"/>
      <c r="L277" s="458"/>
      <c r="M277" s="458"/>
      <c r="N277" s="458"/>
      <c r="O277" s="458"/>
      <c r="P277" s="458"/>
      <c r="Q277" s="458"/>
      <c r="R277" s="458"/>
      <c r="S277" s="458"/>
      <c r="T277" s="458"/>
      <c r="U277" s="458"/>
      <c r="V277" s="458"/>
      <c r="W277" s="458"/>
    </row>
    <row r="278" spans="1:23" ht="15.75" customHeight="1">
      <c r="A278" s="458"/>
      <c r="B278" s="458"/>
      <c r="C278" s="458"/>
      <c r="D278" s="458"/>
      <c r="E278" s="458"/>
      <c r="F278" s="458"/>
      <c r="G278" s="458"/>
      <c r="H278" s="458"/>
      <c r="I278" s="458"/>
      <c r="J278" s="458"/>
      <c r="K278" s="458"/>
      <c r="L278" s="458"/>
      <c r="M278" s="458"/>
      <c r="N278" s="458"/>
      <c r="O278" s="458"/>
      <c r="P278" s="458"/>
      <c r="Q278" s="458"/>
      <c r="R278" s="458"/>
      <c r="S278" s="458"/>
      <c r="T278" s="458"/>
      <c r="U278" s="458"/>
      <c r="V278" s="458"/>
      <c r="W278" s="458"/>
    </row>
    <row r="279" spans="1:23" ht="15.75" customHeight="1">
      <c r="A279" s="458"/>
      <c r="B279" s="458"/>
      <c r="C279" s="458"/>
      <c r="D279" s="458"/>
      <c r="E279" s="458"/>
      <c r="F279" s="458"/>
      <c r="G279" s="458"/>
      <c r="H279" s="458"/>
      <c r="I279" s="458"/>
      <c r="J279" s="458"/>
      <c r="K279" s="458"/>
      <c r="L279" s="458"/>
      <c r="M279" s="458"/>
      <c r="N279" s="458"/>
      <c r="O279" s="458"/>
      <c r="P279" s="458"/>
      <c r="Q279" s="458"/>
      <c r="R279" s="458"/>
      <c r="S279" s="458"/>
      <c r="T279" s="458"/>
      <c r="U279" s="458"/>
      <c r="V279" s="458"/>
      <c r="W279" s="458"/>
    </row>
    <row r="280" spans="1:23" ht="15.75" customHeight="1">
      <c r="A280" s="458"/>
      <c r="B280" s="458"/>
      <c r="C280" s="458"/>
      <c r="D280" s="458"/>
      <c r="E280" s="458"/>
      <c r="F280" s="458"/>
      <c r="G280" s="458"/>
      <c r="H280" s="458"/>
      <c r="I280" s="458"/>
      <c r="J280" s="458"/>
      <c r="K280" s="458"/>
      <c r="L280" s="458"/>
      <c r="M280" s="458"/>
      <c r="N280" s="458"/>
      <c r="O280" s="458"/>
      <c r="P280" s="458"/>
      <c r="Q280" s="458"/>
      <c r="R280" s="458"/>
      <c r="S280" s="458"/>
      <c r="T280" s="458"/>
      <c r="U280" s="458"/>
      <c r="V280" s="458"/>
      <c r="W280" s="458"/>
    </row>
    <row r="281" spans="1:23" ht="15.75" customHeight="1">
      <c r="A281" s="458"/>
      <c r="B281" s="458"/>
      <c r="C281" s="458"/>
      <c r="D281" s="458"/>
      <c r="E281" s="458"/>
      <c r="F281" s="458"/>
      <c r="G281" s="458"/>
      <c r="H281" s="458"/>
      <c r="I281" s="458"/>
      <c r="J281" s="458"/>
      <c r="K281" s="458"/>
      <c r="L281" s="458"/>
      <c r="M281" s="458"/>
      <c r="N281" s="458"/>
      <c r="O281" s="458"/>
      <c r="P281" s="458"/>
      <c r="Q281" s="458"/>
      <c r="R281" s="458"/>
      <c r="S281" s="458"/>
      <c r="T281" s="458"/>
      <c r="U281" s="458"/>
      <c r="V281" s="458"/>
      <c r="W281" s="458"/>
    </row>
    <row r="282" spans="1:23" ht="15.75" customHeight="1">
      <c r="A282" s="458"/>
      <c r="B282" s="458"/>
      <c r="C282" s="458"/>
      <c r="D282" s="458"/>
      <c r="E282" s="458"/>
      <c r="F282" s="458"/>
      <c r="G282" s="458"/>
      <c r="H282" s="458"/>
      <c r="I282" s="458"/>
      <c r="J282" s="458"/>
      <c r="K282" s="458"/>
      <c r="L282" s="458"/>
      <c r="M282" s="458"/>
      <c r="N282" s="458"/>
      <c r="O282" s="458"/>
      <c r="P282" s="458"/>
      <c r="Q282" s="458"/>
      <c r="R282" s="458"/>
      <c r="S282" s="458"/>
      <c r="T282" s="458"/>
      <c r="U282" s="458"/>
      <c r="V282" s="458"/>
      <c r="W282" s="458"/>
    </row>
    <row r="283" spans="1:23" ht="15.75" customHeight="1">
      <c r="A283" s="458"/>
      <c r="B283" s="458"/>
      <c r="C283" s="458"/>
      <c r="D283" s="458"/>
      <c r="E283" s="458"/>
      <c r="F283" s="458"/>
      <c r="G283" s="458"/>
      <c r="H283" s="458"/>
      <c r="I283" s="458"/>
      <c r="J283" s="458"/>
      <c r="K283" s="458"/>
      <c r="L283" s="458"/>
      <c r="M283" s="458"/>
      <c r="N283" s="458"/>
      <c r="O283" s="458"/>
      <c r="P283" s="458"/>
      <c r="Q283" s="458"/>
      <c r="R283" s="458"/>
      <c r="S283" s="458"/>
      <c r="T283" s="458"/>
      <c r="U283" s="458"/>
      <c r="V283" s="458"/>
      <c r="W283" s="458"/>
    </row>
    <row r="284" spans="1:23" ht="15.75" customHeight="1">
      <c r="A284" s="458"/>
      <c r="B284" s="458"/>
      <c r="C284" s="458"/>
      <c r="D284" s="458"/>
      <c r="E284" s="458"/>
      <c r="F284" s="458"/>
      <c r="G284" s="458"/>
      <c r="H284" s="458"/>
      <c r="I284" s="458"/>
      <c r="J284" s="458"/>
      <c r="K284" s="458"/>
      <c r="L284" s="458"/>
      <c r="M284" s="458"/>
      <c r="N284" s="458"/>
      <c r="O284" s="458"/>
      <c r="P284" s="458"/>
      <c r="Q284" s="458"/>
      <c r="R284" s="458"/>
      <c r="S284" s="458"/>
      <c r="T284" s="458"/>
      <c r="U284" s="458"/>
      <c r="V284" s="458"/>
      <c r="W284" s="458"/>
    </row>
    <row r="285" spans="1:23" ht="15.75" customHeight="1">
      <c r="A285" s="458"/>
      <c r="B285" s="458"/>
      <c r="C285" s="458"/>
      <c r="D285" s="458"/>
      <c r="E285" s="458"/>
      <c r="F285" s="458"/>
      <c r="G285" s="458"/>
      <c r="H285" s="458"/>
      <c r="I285" s="458"/>
      <c r="J285" s="458"/>
      <c r="K285" s="458"/>
      <c r="L285" s="458"/>
      <c r="M285" s="458"/>
      <c r="N285" s="458"/>
      <c r="O285" s="458"/>
      <c r="P285" s="458"/>
      <c r="Q285" s="458"/>
      <c r="R285" s="458"/>
      <c r="S285" s="458"/>
      <c r="T285" s="458"/>
      <c r="U285" s="458"/>
      <c r="V285" s="458"/>
      <c r="W285" s="458"/>
    </row>
    <row r="286" spans="1:23" ht="15.75" customHeight="1">
      <c r="A286" s="458"/>
      <c r="B286" s="458"/>
      <c r="C286" s="458"/>
      <c r="D286" s="458"/>
      <c r="E286" s="458"/>
      <c r="F286" s="458"/>
      <c r="G286" s="458"/>
      <c r="H286" s="458"/>
      <c r="I286" s="458"/>
      <c r="J286" s="458"/>
      <c r="K286" s="458"/>
      <c r="L286" s="458"/>
      <c r="M286" s="458"/>
      <c r="N286" s="458"/>
      <c r="O286" s="458"/>
      <c r="P286" s="458"/>
      <c r="Q286" s="458"/>
      <c r="R286" s="458"/>
      <c r="S286" s="458"/>
      <c r="T286" s="458"/>
      <c r="U286" s="458"/>
      <c r="V286" s="458"/>
      <c r="W286" s="458"/>
    </row>
    <row r="287" spans="1:23" ht="15.75" customHeight="1">
      <c r="A287" s="458"/>
      <c r="B287" s="458"/>
      <c r="C287" s="458"/>
      <c r="D287" s="458"/>
      <c r="E287" s="458"/>
      <c r="F287" s="458"/>
      <c r="G287" s="458"/>
      <c r="H287" s="458"/>
      <c r="I287" s="458"/>
      <c r="J287" s="458"/>
      <c r="K287" s="458"/>
      <c r="L287" s="458"/>
      <c r="M287" s="458"/>
      <c r="N287" s="458"/>
      <c r="O287" s="458"/>
      <c r="P287" s="458"/>
      <c r="Q287" s="458"/>
      <c r="R287" s="458"/>
      <c r="S287" s="458"/>
      <c r="T287" s="458"/>
      <c r="U287" s="458"/>
      <c r="V287" s="458"/>
      <c r="W287" s="458"/>
    </row>
    <row r="288" spans="1:23" ht="15.75" customHeight="1">
      <c r="A288" s="458"/>
      <c r="B288" s="458"/>
      <c r="C288" s="458"/>
      <c r="D288" s="458"/>
      <c r="E288" s="458"/>
      <c r="F288" s="458"/>
      <c r="G288" s="458"/>
      <c r="H288" s="458"/>
      <c r="I288" s="458"/>
      <c r="J288" s="458"/>
      <c r="K288" s="458"/>
      <c r="L288" s="458"/>
      <c r="M288" s="458"/>
      <c r="N288" s="458"/>
      <c r="O288" s="458"/>
      <c r="P288" s="458"/>
      <c r="Q288" s="458"/>
      <c r="R288" s="458"/>
      <c r="S288" s="458"/>
      <c r="T288" s="458"/>
      <c r="U288" s="458"/>
      <c r="V288" s="458"/>
      <c r="W288" s="458"/>
    </row>
    <row r="289" spans="1:23" ht="15.75" customHeight="1">
      <c r="A289" s="458"/>
      <c r="B289" s="458"/>
      <c r="C289" s="458"/>
      <c r="D289" s="458"/>
      <c r="E289" s="458"/>
      <c r="F289" s="458"/>
      <c r="G289" s="458"/>
      <c r="H289" s="458"/>
      <c r="I289" s="458"/>
      <c r="J289" s="458"/>
      <c r="K289" s="458"/>
      <c r="L289" s="458"/>
      <c r="M289" s="458"/>
      <c r="N289" s="458"/>
      <c r="O289" s="458"/>
      <c r="P289" s="458"/>
      <c r="Q289" s="458"/>
      <c r="R289" s="458"/>
      <c r="S289" s="458"/>
      <c r="T289" s="458"/>
      <c r="U289" s="458"/>
      <c r="V289" s="458"/>
      <c r="W289" s="458"/>
    </row>
    <row r="290" spans="1:23" ht="15.75" customHeight="1">
      <c r="A290" s="458"/>
      <c r="B290" s="458"/>
      <c r="C290" s="458"/>
      <c r="D290" s="458"/>
      <c r="E290" s="458"/>
      <c r="F290" s="458"/>
      <c r="G290" s="458"/>
      <c r="H290" s="458"/>
      <c r="I290" s="458"/>
      <c r="J290" s="458"/>
      <c r="K290" s="458"/>
      <c r="L290" s="458"/>
      <c r="M290" s="458"/>
      <c r="N290" s="458"/>
      <c r="O290" s="458"/>
      <c r="P290" s="458"/>
      <c r="Q290" s="458"/>
      <c r="R290" s="458"/>
      <c r="S290" s="458"/>
      <c r="T290" s="458"/>
      <c r="U290" s="458"/>
      <c r="V290" s="458"/>
      <c r="W290" s="458"/>
    </row>
    <row r="291" spans="1:23" ht="15.75" customHeight="1">
      <c r="A291" s="458"/>
      <c r="B291" s="458"/>
      <c r="C291" s="458"/>
      <c r="D291" s="458"/>
      <c r="E291" s="458"/>
      <c r="F291" s="458"/>
      <c r="G291" s="458"/>
      <c r="H291" s="458"/>
      <c r="I291" s="458"/>
      <c r="J291" s="458"/>
      <c r="K291" s="458"/>
      <c r="L291" s="458"/>
      <c r="M291" s="458"/>
      <c r="N291" s="458"/>
      <c r="O291" s="458"/>
      <c r="P291" s="458"/>
      <c r="Q291" s="458"/>
      <c r="R291" s="458"/>
      <c r="S291" s="458"/>
      <c r="T291" s="458"/>
      <c r="U291" s="458"/>
      <c r="V291" s="458"/>
      <c r="W291" s="458"/>
    </row>
    <row r="292" spans="1:23" ht="15.75" customHeight="1">
      <c r="A292" s="458"/>
      <c r="B292" s="458"/>
      <c r="C292" s="458"/>
      <c r="D292" s="458"/>
      <c r="E292" s="458"/>
      <c r="F292" s="458"/>
      <c r="G292" s="458"/>
      <c r="H292" s="458"/>
      <c r="I292" s="458"/>
      <c r="J292" s="458"/>
      <c r="K292" s="458"/>
      <c r="L292" s="458"/>
      <c r="M292" s="458"/>
      <c r="N292" s="458"/>
      <c r="O292" s="458"/>
      <c r="P292" s="458"/>
      <c r="Q292" s="458"/>
      <c r="R292" s="458"/>
      <c r="S292" s="458"/>
      <c r="T292" s="458"/>
      <c r="U292" s="458"/>
      <c r="V292" s="458"/>
      <c r="W292" s="458"/>
    </row>
    <row r="293" spans="1:23" ht="15.75" customHeight="1">
      <c r="A293" s="458"/>
      <c r="B293" s="458"/>
      <c r="C293" s="458"/>
      <c r="D293" s="458"/>
      <c r="E293" s="458"/>
      <c r="F293" s="458"/>
      <c r="G293" s="458"/>
      <c r="H293" s="458"/>
      <c r="I293" s="458"/>
      <c r="J293" s="458"/>
      <c r="K293" s="458"/>
      <c r="L293" s="458"/>
      <c r="M293" s="458"/>
      <c r="N293" s="458"/>
      <c r="O293" s="458"/>
      <c r="P293" s="458"/>
      <c r="Q293" s="458"/>
      <c r="R293" s="458"/>
      <c r="S293" s="458"/>
      <c r="T293" s="458"/>
      <c r="U293" s="458"/>
      <c r="V293" s="458"/>
      <c r="W293" s="458"/>
    </row>
    <row r="294" spans="1:23" ht="15.75" customHeight="1">
      <c r="A294" s="458"/>
      <c r="B294" s="458"/>
      <c r="C294" s="458"/>
      <c r="D294" s="458"/>
      <c r="E294" s="458"/>
      <c r="F294" s="458"/>
      <c r="G294" s="458"/>
      <c r="H294" s="458"/>
      <c r="I294" s="458"/>
      <c r="J294" s="458"/>
      <c r="K294" s="458"/>
      <c r="L294" s="458"/>
      <c r="M294" s="458"/>
      <c r="N294" s="458"/>
      <c r="O294" s="458"/>
      <c r="P294" s="458"/>
      <c r="Q294" s="458"/>
      <c r="R294" s="458"/>
      <c r="S294" s="458"/>
      <c r="T294" s="458"/>
      <c r="U294" s="458"/>
      <c r="V294" s="458"/>
      <c r="W294" s="458"/>
    </row>
    <row r="295" spans="1:23" ht="15.75" customHeight="1">
      <c r="A295" s="458"/>
      <c r="B295" s="458"/>
      <c r="C295" s="458"/>
      <c r="D295" s="458"/>
      <c r="E295" s="458"/>
      <c r="F295" s="458"/>
      <c r="G295" s="458"/>
      <c r="H295" s="458"/>
      <c r="I295" s="458"/>
      <c r="J295" s="458"/>
      <c r="K295" s="458"/>
      <c r="L295" s="458"/>
      <c r="M295" s="458"/>
      <c r="N295" s="458"/>
      <c r="O295" s="458"/>
      <c r="P295" s="458"/>
      <c r="Q295" s="458"/>
      <c r="R295" s="458"/>
      <c r="S295" s="458"/>
      <c r="T295" s="458"/>
      <c r="U295" s="458"/>
      <c r="V295" s="458"/>
      <c r="W295" s="458"/>
    </row>
    <row r="296" spans="1:23" ht="15.75" customHeight="1">
      <c r="A296" s="458"/>
      <c r="B296" s="458"/>
      <c r="C296" s="458"/>
      <c r="D296" s="458"/>
      <c r="E296" s="458"/>
      <c r="F296" s="458"/>
      <c r="G296" s="458"/>
      <c r="H296" s="458"/>
      <c r="I296" s="458"/>
      <c r="J296" s="458"/>
      <c r="K296" s="458"/>
      <c r="L296" s="458"/>
      <c r="M296" s="458"/>
      <c r="N296" s="458"/>
      <c r="O296" s="458"/>
      <c r="P296" s="458"/>
      <c r="Q296" s="458"/>
      <c r="R296" s="458"/>
      <c r="S296" s="458"/>
      <c r="T296" s="458"/>
      <c r="U296" s="458"/>
      <c r="V296" s="458"/>
      <c r="W296" s="458"/>
    </row>
    <row r="297" spans="1:23" ht="15.75" customHeight="1">
      <c r="A297" s="458"/>
      <c r="B297" s="458"/>
      <c r="C297" s="458"/>
      <c r="D297" s="458"/>
      <c r="E297" s="458"/>
      <c r="F297" s="458"/>
      <c r="G297" s="458"/>
      <c r="H297" s="458"/>
      <c r="I297" s="458"/>
      <c r="J297" s="458"/>
      <c r="K297" s="458"/>
      <c r="L297" s="458"/>
      <c r="M297" s="458"/>
      <c r="N297" s="458"/>
      <c r="O297" s="458"/>
      <c r="P297" s="458"/>
      <c r="Q297" s="458"/>
      <c r="R297" s="458"/>
      <c r="S297" s="458"/>
      <c r="T297" s="458"/>
      <c r="U297" s="458"/>
      <c r="V297" s="458"/>
      <c r="W297" s="458"/>
    </row>
    <row r="298" spans="1:23" ht="15.75" customHeight="1">
      <c r="A298" s="458"/>
      <c r="B298" s="458"/>
      <c r="C298" s="458"/>
      <c r="D298" s="458"/>
      <c r="E298" s="458"/>
      <c r="F298" s="458"/>
      <c r="G298" s="458"/>
      <c r="H298" s="458"/>
      <c r="I298" s="458"/>
      <c r="J298" s="458"/>
      <c r="K298" s="458"/>
      <c r="L298" s="458"/>
      <c r="M298" s="458"/>
      <c r="N298" s="458"/>
      <c r="O298" s="458"/>
      <c r="P298" s="458"/>
      <c r="Q298" s="458"/>
      <c r="R298" s="458"/>
      <c r="S298" s="458"/>
      <c r="T298" s="458"/>
      <c r="U298" s="458"/>
      <c r="V298" s="458"/>
      <c r="W298" s="458"/>
    </row>
    <row r="299" spans="1:23" ht="15.75" customHeight="1">
      <c r="A299" s="458"/>
      <c r="B299" s="458"/>
      <c r="C299" s="458"/>
      <c r="D299" s="458"/>
      <c r="E299" s="458"/>
      <c r="F299" s="458"/>
      <c r="G299" s="458"/>
      <c r="H299" s="458"/>
      <c r="I299" s="458"/>
      <c r="J299" s="458"/>
      <c r="K299" s="458"/>
      <c r="L299" s="458"/>
      <c r="M299" s="458"/>
      <c r="N299" s="458"/>
      <c r="O299" s="458"/>
      <c r="P299" s="458"/>
      <c r="Q299" s="458"/>
      <c r="R299" s="458"/>
      <c r="S299" s="458"/>
      <c r="T299" s="458"/>
      <c r="U299" s="458"/>
      <c r="V299" s="458"/>
      <c r="W299" s="458"/>
    </row>
    <row r="300" spans="1:23" ht="15.75" customHeight="1">
      <c r="A300" s="458"/>
      <c r="B300" s="458"/>
      <c r="C300" s="458"/>
      <c r="D300" s="458"/>
      <c r="E300" s="458"/>
      <c r="F300" s="458"/>
      <c r="G300" s="458"/>
      <c r="H300" s="458"/>
      <c r="I300" s="458"/>
      <c r="J300" s="458"/>
      <c r="K300" s="458"/>
      <c r="L300" s="458"/>
      <c r="M300" s="458"/>
      <c r="N300" s="458"/>
      <c r="O300" s="458"/>
      <c r="P300" s="458"/>
      <c r="Q300" s="458"/>
      <c r="R300" s="458"/>
      <c r="S300" s="458"/>
      <c r="T300" s="458"/>
      <c r="U300" s="458"/>
      <c r="V300" s="458"/>
      <c r="W300" s="458"/>
    </row>
    <row r="301" spans="1:23" ht="15.75" customHeight="1">
      <c r="A301" s="458"/>
      <c r="B301" s="458"/>
      <c r="C301" s="458"/>
      <c r="D301" s="458"/>
      <c r="E301" s="458"/>
      <c r="F301" s="458"/>
      <c r="G301" s="458"/>
      <c r="H301" s="458"/>
      <c r="I301" s="458"/>
      <c r="J301" s="458"/>
      <c r="K301" s="458"/>
      <c r="L301" s="458"/>
      <c r="M301" s="458"/>
      <c r="N301" s="458"/>
      <c r="O301" s="458"/>
      <c r="P301" s="458"/>
      <c r="Q301" s="458"/>
      <c r="R301" s="458"/>
      <c r="S301" s="458"/>
      <c r="T301" s="458"/>
      <c r="U301" s="458"/>
      <c r="V301" s="458"/>
      <c r="W301" s="458"/>
    </row>
    <row r="302" spans="1:23" ht="15.75" customHeight="1">
      <c r="A302" s="458"/>
      <c r="B302" s="458"/>
      <c r="C302" s="458"/>
      <c r="D302" s="458"/>
      <c r="E302" s="458"/>
      <c r="F302" s="458"/>
      <c r="G302" s="458"/>
      <c r="H302" s="458"/>
      <c r="I302" s="458"/>
      <c r="J302" s="458"/>
      <c r="K302" s="458"/>
      <c r="L302" s="458"/>
      <c r="M302" s="458"/>
      <c r="N302" s="458"/>
      <c r="O302" s="458"/>
      <c r="P302" s="458"/>
      <c r="Q302" s="458"/>
      <c r="R302" s="458"/>
      <c r="S302" s="458"/>
      <c r="T302" s="458"/>
      <c r="U302" s="458"/>
      <c r="V302" s="458"/>
      <c r="W302" s="458"/>
    </row>
    <row r="303" spans="1:23" ht="15.75" customHeight="1">
      <c r="A303" s="458"/>
      <c r="B303" s="458"/>
      <c r="C303" s="458"/>
      <c r="D303" s="458"/>
      <c r="E303" s="458"/>
      <c r="F303" s="458"/>
      <c r="G303" s="458"/>
      <c r="H303" s="458"/>
      <c r="I303" s="458"/>
      <c r="J303" s="458"/>
      <c r="K303" s="458"/>
      <c r="L303" s="458"/>
      <c r="M303" s="458"/>
      <c r="N303" s="458"/>
      <c r="O303" s="458"/>
      <c r="P303" s="458"/>
      <c r="Q303" s="458"/>
      <c r="R303" s="458"/>
      <c r="S303" s="458"/>
      <c r="T303" s="458"/>
      <c r="U303" s="458"/>
      <c r="V303" s="458"/>
      <c r="W303" s="458"/>
    </row>
    <row r="304" spans="1:23" ht="15.75" customHeight="1">
      <c r="A304" s="458"/>
      <c r="B304" s="458"/>
      <c r="C304" s="458"/>
      <c r="D304" s="458"/>
      <c r="E304" s="458"/>
      <c r="F304" s="458"/>
      <c r="G304" s="458"/>
      <c r="H304" s="458"/>
      <c r="I304" s="458"/>
      <c r="J304" s="458"/>
      <c r="K304" s="458"/>
      <c r="L304" s="458"/>
      <c r="M304" s="458"/>
      <c r="N304" s="458"/>
      <c r="O304" s="458"/>
      <c r="P304" s="458"/>
      <c r="Q304" s="458"/>
      <c r="R304" s="458"/>
      <c r="S304" s="458"/>
      <c r="T304" s="458"/>
      <c r="U304" s="458"/>
      <c r="V304" s="458"/>
      <c r="W304" s="458"/>
    </row>
    <row r="305" spans="1:23" ht="15.75" customHeight="1">
      <c r="A305" s="458"/>
      <c r="B305" s="458"/>
      <c r="C305" s="458"/>
      <c r="D305" s="458"/>
      <c r="E305" s="458"/>
      <c r="F305" s="458"/>
      <c r="G305" s="458"/>
      <c r="H305" s="458"/>
      <c r="I305" s="458"/>
      <c r="J305" s="458"/>
      <c r="K305" s="458"/>
      <c r="L305" s="458"/>
      <c r="M305" s="458"/>
      <c r="N305" s="458"/>
      <c r="O305" s="458"/>
      <c r="P305" s="458"/>
      <c r="Q305" s="458"/>
      <c r="R305" s="458"/>
      <c r="S305" s="458"/>
      <c r="T305" s="458"/>
      <c r="U305" s="458"/>
      <c r="V305" s="458"/>
      <c r="W305" s="458"/>
    </row>
    <row r="306" spans="1:23" ht="15.75" customHeight="1">
      <c r="A306" s="458"/>
      <c r="B306" s="458"/>
      <c r="C306" s="458"/>
      <c r="D306" s="458"/>
      <c r="E306" s="458"/>
      <c r="F306" s="458"/>
      <c r="G306" s="458"/>
      <c r="H306" s="458"/>
      <c r="I306" s="458"/>
      <c r="J306" s="458"/>
      <c r="K306" s="458"/>
      <c r="L306" s="458"/>
      <c r="M306" s="458"/>
      <c r="N306" s="458"/>
      <c r="O306" s="458"/>
      <c r="P306" s="458"/>
      <c r="Q306" s="458"/>
      <c r="R306" s="458"/>
      <c r="S306" s="458"/>
      <c r="T306" s="458"/>
      <c r="U306" s="458"/>
      <c r="V306" s="458"/>
      <c r="W306" s="458"/>
    </row>
    <row r="307" spans="1:23" ht="15.75" customHeight="1">
      <c r="A307" s="458"/>
      <c r="B307" s="458"/>
      <c r="C307" s="458"/>
      <c r="D307" s="458"/>
      <c r="E307" s="458"/>
      <c r="F307" s="458"/>
      <c r="G307" s="458"/>
      <c r="H307" s="458"/>
      <c r="I307" s="458"/>
      <c r="J307" s="458"/>
      <c r="K307" s="458"/>
      <c r="L307" s="458"/>
      <c r="M307" s="458"/>
      <c r="N307" s="458"/>
      <c r="O307" s="458"/>
      <c r="P307" s="458"/>
      <c r="Q307" s="458"/>
      <c r="R307" s="458"/>
      <c r="S307" s="458"/>
      <c r="T307" s="458"/>
      <c r="U307" s="458"/>
      <c r="V307" s="458"/>
      <c r="W307" s="458"/>
    </row>
    <row r="308" spans="1:23" ht="15.75" customHeight="1">
      <c r="A308" s="458"/>
      <c r="B308" s="458"/>
      <c r="C308" s="458"/>
      <c r="D308" s="458"/>
      <c r="E308" s="458"/>
      <c r="F308" s="458"/>
      <c r="G308" s="458"/>
      <c r="H308" s="458"/>
      <c r="I308" s="458"/>
      <c r="J308" s="458"/>
      <c r="K308" s="458"/>
      <c r="L308" s="458"/>
      <c r="M308" s="458"/>
      <c r="N308" s="458"/>
      <c r="O308" s="458"/>
      <c r="P308" s="458"/>
      <c r="Q308" s="458"/>
      <c r="R308" s="458"/>
      <c r="S308" s="458"/>
      <c r="T308" s="458"/>
      <c r="U308" s="458"/>
      <c r="V308" s="458"/>
      <c r="W308" s="458"/>
    </row>
    <row r="309" spans="1:23" ht="15.75" customHeight="1">
      <c r="A309" s="458"/>
      <c r="B309" s="458"/>
      <c r="C309" s="458"/>
      <c r="D309" s="458"/>
      <c r="E309" s="458"/>
      <c r="F309" s="458"/>
      <c r="G309" s="458"/>
      <c r="H309" s="458"/>
      <c r="I309" s="458"/>
      <c r="J309" s="458"/>
      <c r="K309" s="458"/>
      <c r="L309" s="458"/>
      <c r="M309" s="458"/>
      <c r="N309" s="458"/>
      <c r="O309" s="458"/>
      <c r="P309" s="458"/>
      <c r="Q309" s="458"/>
      <c r="R309" s="458"/>
      <c r="S309" s="458"/>
      <c r="T309" s="458"/>
      <c r="U309" s="458"/>
      <c r="V309" s="458"/>
      <c r="W309" s="458"/>
    </row>
    <row r="310" spans="1:23" ht="15.75" customHeight="1">
      <c r="A310" s="458"/>
      <c r="B310" s="458"/>
      <c r="C310" s="458"/>
      <c r="D310" s="458"/>
      <c r="E310" s="458"/>
      <c r="F310" s="458"/>
      <c r="G310" s="458"/>
      <c r="H310" s="458"/>
      <c r="I310" s="458"/>
      <c r="J310" s="458"/>
      <c r="K310" s="458"/>
      <c r="L310" s="458"/>
      <c r="M310" s="458"/>
      <c r="N310" s="458"/>
      <c r="O310" s="458"/>
      <c r="P310" s="458"/>
      <c r="Q310" s="458"/>
      <c r="R310" s="458"/>
      <c r="S310" s="458"/>
      <c r="T310" s="458"/>
      <c r="U310" s="458"/>
      <c r="V310" s="458"/>
      <c r="W310" s="458"/>
    </row>
    <row r="311" spans="1:23" ht="15.75" customHeight="1">
      <c r="A311" s="458"/>
      <c r="B311" s="458"/>
      <c r="C311" s="458"/>
      <c r="D311" s="458"/>
      <c r="E311" s="458"/>
      <c r="F311" s="458"/>
      <c r="G311" s="458"/>
      <c r="H311" s="458"/>
      <c r="I311" s="458"/>
      <c r="J311" s="458"/>
      <c r="K311" s="458"/>
      <c r="L311" s="458"/>
      <c r="M311" s="458"/>
      <c r="N311" s="458"/>
      <c r="O311" s="458"/>
      <c r="P311" s="458"/>
      <c r="Q311" s="458"/>
      <c r="R311" s="458"/>
      <c r="S311" s="458"/>
      <c r="T311" s="458"/>
      <c r="U311" s="458"/>
      <c r="V311" s="458"/>
      <c r="W311" s="458"/>
    </row>
    <row r="312" spans="1:23" ht="15.75" customHeight="1">
      <c r="A312" s="458"/>
      <c r="B312" s="458"/>
      <c r="C312" s="458"/>
      <c r="D312" s="458"/>
      <c r="E312" s="458"/>
      <c r="F312" s="458"/>
      <c r="G312" s="458"/>
      <c r="H312" s="458"/>
      <c r="I312" s="458"/>
      <c r="J312" s="458"/>
      <c r="K312" s="458"/>
      <c r="L312" s="458"/>
      <c r="M312" s="458"/>
      <c r="N312" s="458"/>
      <c r="O312" s="458"/>
      <c r="P312" s="458"/>
      <c r="Q312" s="458"/>
      <c r="R312" s="458"/>
      <c r="S312" s="458"/>
      <c r="T312" s="458"/>
      <c r="U312" s="458"/>
      <c r="V312" s="458"/>
      <c r="W312" s="458"/>
    </row>
    <row r="313" spans="1:23" ht="15.75" customHeight="1">
      <c r="A313" s="458"/>
      <c r="B313" s="458"/>
      <c r="C313" s="458"/>
      <c r="D313" s="458"/>
      <c r="E313" s="458"/>
      <c r="F313" s="458"/>
      <c r="G313" s="458"/>
      <c r="H313" s="458"/>
      <c r="I313" s="458"/>
      <c r="J313" s="458"/>
      <c r="K313" s="458"/>
      <c r="L313" s="458"/>
      <c r="M313" s="458"/>
      <c r="N313" s="458"/>
      <c r="O313" s="458"/>
      <c r="P313" s="458"/>
      <c r="Q313" s="458"/>
      <c r="R313" s="458"/>
      <c r="S313" s="458"/>
      <c r="T313" s="458"/>
      <c r="U313" s="458"/>
      <c r="V313" s="458"/>
      <c r="W313" s="458"/>
    </row>
    <row r="314" spans="1:23" ht="15.75" customHeight="1">
      <c r="A314" s="458"/>
      <c r="B314" s="458"/>
      <c r="C314" s="458"/>
      <c r="D314" s="458"/>
      <c r="E314" s="458"/>
      <c r="F314" s="458"/>
      <c r="G314" s="458"/>
      <c r="H314" s="458"/>
      <c r="I314" s="458"/>
      <c r="J314" s="458"/>
      <c r="K314" s="458"/>
      <c r="L314" s="458"/>
      <c r="M314" s="458"/>
      <c r="N314" s="458"/>
      <c r="O314" s="458"/>
      <c r="P314" s="458"/>
      <c r="Q314" s="458"/>
      <c r="R314" s="458"/>
      <c r="S314" s="458"/>
      <c r="T314" s="458"/>
      <c r="U314" s="458"/>
      <c r="V314" s="458"/>
      <c r="W314" s="458"/>
    </row>
    <row r="315" spans="1:23" ht="15.75" customHeight="1">
      <c r="A315" s="458"/>
      <c r="B315" s="458"/>
      <c r="C315" s="458"/>
      <c r="D315" s="458"/>
      <c r="E315" s="458"/>
      <c r="F315" s="458"/>
      <c r="G315" s="458"/>
      <c r="H315" s="458"/>
      <c r="I315" s="458"/>
      <c r="J315" s="458"/>
      <c r="K315" s="458"/>
      <c r="L315" s="458"/>
      <c r="M315" s="458"/>
      <c r="N315" s="458"/>
      <c r="O315" s="458"/>
      <c r="P315" s="458"/>
      <c r="Q315" s="458"/>
      <c r="R315" s="458"/>
      <c r="S315" s="458"/>
      <c r="T315" s="458"/>
      <c r="U315" s="458"/>
      <c r="V315" s="458"/>
      <c r="W315" s="458"/>
    </row>
    <row r="316" spans="1:23" ht="15.75" customHeight="1">
      <c r="A316" s="458"/>
      <c r="B316" s="458"/>
      <c r="C316" s="458"/>
      <c r="D316" s="458"/>
      <c r="E316" s="458"/>
      <c r="F316" s="458"/>
      <c r="G316" s="458"/>
      <c r="H316" s="458"/>
      <c r="I316" s="458"/>
      <c r="J316" s="458"/>
      <c r="K316" s="458"/>
      <c r="L316" s="458"/>
      <c r="M316" s="458"/>
      <c r="N316" s="458"/>
      <c r="O316" s="458"/>
      <c r="P316" s="458"/>
      <c r="Q316" s="458"/>
      <c r="R316" s="458"/>
      <c r="S316" s="458"/>
      <c r="T316" s="458"/>
      <c r="U316" s="458"/>
      <c r="V316" s="458"/>
      <c r="W316" s="458"/>
    </row>
    <row r="317" spans="1:23" ht="15.75" customHeight="1">
      <c r="A317" s="458"/>
      <c r="B317" s="458"/>
      <c r="C317" s="458"/>
      <c r="D317" s="458"/>
      <c r="E317" s="458"/>
      <c r="F317" s="458"/>
      <c r="G317" s="458"/>
      <c r="H317" s="458"/>
      <c r="I317" s="458"/>
      <c r="J317" s="458"/>
      <c r="K317" s="458"/>
      <c r="L317" s="458"/>
      <c r="M317" s="458"/>
      <c r="N317" s="458"/>
      <c r="O317" s="458"/>
      <c r="P317" s="458"/>
      <c r="Q317" s="458"/>
      <c r="R317" s="458"/>
      <c r="S317" s="458"/>
      <c r="T317" s="458"/>
      <c r="U317" s="458"/>
      <c r="V317" s="458"/>
      <c r="W317" s="458"/>
    </row>
    <row r="318" spans="1:23" ht="15.75" customHeight="1">
      <c r="A318" s="458"/>
      <c r="B318" s="458"/>
      <c r="C318" s="458"/>
      <c r="D318" s="458"/>
      <c r="E318" s="458"/>
      <c r="F318" s="458"/>
      <c r="G318" s="458"/>
      <c r="H318" s="458"/>
      <c r="I318" s="458"/>
      <c r="J318" s="458"/>
      <c r="K318" s="458"/>
      <c r="L318" s="458"/>
      <c r="M318" s="458"/>
      <c r="N318" s="458"/>
      <c r="O318" s="458"/>
      <c r="P318" s="458"/>
      <c r="Q318" s="458"/>
      <c r="R318" s="458"/>
      <c r="S318" s="458"/>
      <c r="T318" s="458"/>
      <c r="U318" s="458"/>
      <c r="V318" s="458"/>
      <c r="W318" s="458"/>
    </row>
    <row r="319" spans="1:23" ht="15.75" customHeight="1">
      <c r="A319" s="458"/>
      <c r="B319" s="458"/>
      <c r="C319" s="458"/>
      <c r="D319" s="458"/>
      <c r="E319" s="458"/>
      <c r="F319" s="458"/>
      <c r="G319" s="458"/>
      <c r="H319" s="458"/>
      <c r="I319" s="458"/>
      <c r="J319" s="458"/>
      <c r="K319" s="458"/>
      <c r="L319" s="458"/>
      <c r="M319" s="458"/>
      <c r="N319" s="458"/>
      <c r="O319" s="458"/>
      <c r="P319" s="458"/>
      <c r="Q319" s="458"/>
      <c r="R319" s="458"/>
      <c r="S319" s="458"/>
      <c r="T319" s="458"/>
      <c r="U319" s="458"/>
      <c r="V319" s="458"/>
      <c r="W319" s="458"/>
    </row>
    <row r="320" spans="1:23" ht="15.75" customHeight="1">
      <c r="A320" s="458"/>
      <c r="B320" s="458"/>
      <c r="C320" s="458"/>
      <c r="D320" s="458"/>
      <c r="E320" s="458"/>
      <c r="F320" s="458"/>
      <c r="G320" s="458"/>
      <c r="H320" s="458"/>
      <c r="I320" s="458"/>
      <c r="J320" s="458"/>
      <c r="K320" s="458"/>
      <c r="L320" s="458"/>
      <c r="M320" s="458"/>
      <c r="N320" s="458"/>
      <c r="O320" s="458"/>
      <c r="P320" s="458"/>
      <c r="Q320" s="458"/>
      <c r="R320" s="458"/>
      <c r="S320" s="458"/>
      <c r="T320" s="458"/>
      <c r="U320" s="458"/>
      <c r="V320" s="458"/>
      <c r="W320" s="458"/>
    </row>
    <row r="321" spans="1:23" ht="15.75" customHeight="1">
      <c r="A321" s="458"/>
      <c r="B321" s="458"/>
      <c r="C321" s="458"/>
      <c r="D321" s="458"/>
      <c r="E321" s="458"/>
      <c r="F321" s="458"/>
      <c r="G321" s="458"/>
      <c r="H321" s="458"/>
      <c r="I321" s="458"/>
      <c r="J321" s="458"/>
      <c r="K321" s="458"/>
      <c r="L321" s="458"/>
      <c r="M321" s="458"/>
      <c r="N321" s="458"/>
      <c r="O321" s="458"/>
      <c r="P321" s="458"/>
      <c r="Q321" s="458"/>
      <c r="R321" s="458"/>
      <c r="S321" s="458"/>
      <c r="T321" s="458"/>
      <c r="U321" s="458"/>
      <c r="V321" s="458"/>
      <c r="W321" s="458"/>
    </row>
    <row r="322" spans="1:23" ht="15.75" customHeight="1">
      <c r="A322" s="458"/>
      <c r="B322" s="458"/>
      <c r="C322" s="458"/>
      <c r="D322" s="458"/>
      <c r="E322" s="458"/>
      <c r="F322" s="458"/>
      <c r="G322" s="458"/>
      <c r="H322" s="458"/>
      <c r="I322" s="458"/>
      <c r="J322" s="458"/>
      <c r="K322" s="458"/>
      <c r="L322" s="458"/>
      <c r="M322" s="458"/>
      <c r="N322" s="458"/>
      <c r="O322" s="458"/>
      <c r="P322" s="458"/>
      <c r="Q322" s="458"/>
      <c r="R322" s="458"/>
      <c r="S322" s="458"/>
      <c r="T322" s="458"/>
      <c r="U322" s="458"/>
      <c r="V322" s="458"/>
      <c r="W322" s="458"/>
    </row>
    <row r="323" spans="1:23" ht="15.75" customHeight="1">
      <c r="A323" s="458"/>
      <c r="B323" s="458"/>
      <c r="C323" s="458"/>
      <c r="D323" s="458"/>
      <c r="E323" s="458"/>
      <c r="F323" s="458"/>
      <c r="G323" s="458"/>
      <c r="H323" s="458"/>
      <c r="I323" s="458"/>
      <c r="J323" s="458"/>
      <c r="K323" s="458"/>
      <c r="L323" s="458"/>
      <c r="M323" s="458"/>
      <c r="N323" s="458"/>
      <c r="O323" s="458"/>
      <c r="P323" s="458"/>
      <c r="Q323" s="458"/>
      <c r="R323" s="458"/>
      <c r="S323" s="458"/>
      <c r="T323" s="458"/>
      <c r="U323" s="458"/>
      <c r="V323" s="458"/>
      <c r="W323" s="458"/>
    </row>
    <row r="324" spans="1:23" ht="15.75" customHeight="1">
      <c r="A324" s="458"/>
      <c r="B324" s="458"/>
      <c r="C324" s="458"/>
      <c r="D324" s="458"/>
      <c r="E324" s="458"/>
      <c r="F324" s="458"/>
      <c r="G324" s="458"/>
      <c r="H324" s="458"/>
      <c r="I324" s="458"/>
      <c r="J324" s="458"/>
      <c r="K324" s="458"/>
      <c r="L324" s="458"/>
      <c r="M324" s="458"/>
      <c r="N324" s="458"/>
      <c r="O324" s="458"/>
      <c r="P324" s="458"/>
      <c r="Q324" s="458"/>
      <c r="R324" s="458"/>
      <c r="S324" s="458"/>
      <c r="T324" s="458"/>
      <c r="U324" s="458"/>
      <c r="V324" s="458"/>
      <c r="W324" s="458"/>
    </row>
    <row r="325" spans="1:23" ht="15.75" customHeight="1">
      <c r="A325" s="458"/>
      <c r="B325" s="458"/>
      <c r="C325" s="458"/>
      <c r="D325" s="458"/>
      <c r="E325" s="458"/>
      <c r="F325" s="458"/>
      <c r="G325" s="458"/>
      <c r="H325" s="458"/>
      <c r="I325" s="458"/>
      <c r="J325" s="458"/>
      <c r="K325" s="458"/>
      <c r="L325" s="458"/>
      <c r="M325" s="458"/>
      <c r="N325" s="458"/>
      <c r="O325" s="458"/>
      <c r="P325" s="458"/>
      <c r="Q325" s="458"/>
      <c r="R325" s="458"/>
      <c r="S325" s="458"/>
      <c r="T325" s="458"/>
      <c r="U325" s="458"/>
      <c r="V325" s="458"/>
      <c r="W325" s="458"/>
    </row>
    <row r="326" spans="1:23" ht="15.75" customHeight="1">
      <c r="A326" s="458"/>
      <c r="B326" s="458"/>
      <c r="C326" s="458"/>
      <c r="D326" s="458"/>
      <c r="E326" s="458"/>
      <c r="F326" s="458"/>
      <c r="G326" s="458"/>
      <c r="H326" s="458"/>
      <c r="I326" s="458"/>
      <c r="J326" s="458"/>
      <c r="K326" s="458"/>
      <c r="L326" s="458"/>
      <c r="M326" s="458"/>
      <c r="N326" s="458"/>
      <c r="O326" s="458"/>
      <c r="P326" s="458"/>
      <c r="Q326" s="458"/>
      <c r="R326" s="458"/>
      <c r="S326" s="458"/>
      <c r="T326" s="458"/>
      <c r="U326" s="458"/>
      <c r="V326" s="458"/>
      <c r="W326" s="458"/>
    </row>
    <row r="327" spans="1:23" ht="15.75" customHeight="1">
      <c r="A327" s="458"/>
      <c r="B327" s="458"/>
      <c r="C327" s="458"/>
      <c r="D327" s="458"/>
      <c r="E327" s="458"/>
      <c r="F327" s="458"/>
      <c r="G327" s="458"/>
      <c r="H327" s="458"/>
      <c r="I327" s="458"/>
      <c r="J327" s="458"/>
      <c r="K327" s="458"/>
      <c r="L327" s="458"/>
      <c r="M327" s="458"/>
      <c r="N327" s="458"/>
      <c r="O327" s="458"/>
      <c r="P327" s="458"/>
      <c r="Q327" s="458"/>
      <c r="R327" s="458"/>
      <c r="S327" s="458"/>
      <c r="T327" s="458"/>
      <c r="U327" s="458"/>
      <c r="V327" s="458"/>
      <c r="W327" s="458"/>
    </row>
    <row r="328" spans="1:23" ht="15.75" customHeight="1">
      <c r="A328" s="458"/>
      <c r="B328" s="458"/>
      <c r="C328" s="458"/>
      <c r="D328" s="458"/>
      <c r="E328" s="458"/>
      <c r="F328" s="458"/>
      <c r="G328" s="458"/>
      <c r="H328" s="458"/>
      <c r="I328" s="458"/>
      <c r="J328" s="458"/>
      <c r="K328" s="458"/>
      <c r="L328" s="458"/>
      <c r="M328" s="458"/>
      <c r="N328" s="458"/>
      <c r="O328" s="458"/>
      <c r="P328" s="458"/>
      <c r="Q328" s="458"/>
      <c r="R328" s="458"/>
      <c r="S328" s="458"/>
      <c r="T328" s="458"/>
      <c r="U328" s="458"/>
      <c r="V328" s="458"/>
      <c r="W328" s="458"/>
    </row>
    <row r="329" spans="1:23" ht="15.75" customHeight="1">
      <c r="A329" s="458"/>
      <c r="B329" s="458"/>
      <c r="C329" s="458"/>
      <c r="D329" s="458"/>
      <c r="E329" s="458"/>
      <c r="F329" s="458"/>
      <c r="G329" s="458"/>
      <c r="H329" s="458"/>
      <c r="I329" s="458"/>
      <c r="J329" s="458"/>
      <c r="K329" s="458"/>
      <c r="L329" s="458"/>
      <c r="M329" s="458"/>
      <c r="N329" s="458"/>
      <c r="O329" s="458"/>
      <c r="P329" s="458"/>
      <c r="Q329" s="458"/>
      <c r="R329" s="458"/>
      <c r="S329" s="458"/>
      <c r="T329" s="458"/>
      <c r="U329" s="458"/>
      <c r="V329" s="458"/>
      <c r="W329" s="458"/>
    </row>
    <row r="330" spans="1:23" ht="15.75" customHeight="1">
      <c r="A330" s="458"/>
      <c r="B330" s="458"/>
      <c r="C330" s="458"/>
      <c r="D330" s="458"/>
      <c r="E330" s="458"/>
      <c r="F330" s="458"/>
      <c r="G330" s="458"/>
      <c r="H330" s="458"/>
      <c r="I330" s="458"/>
      <c r="J330" s="458"/>
      <c r="K330" s="458"/>
      <c r="L330" s="458"/>
      <c r="M330" s="458"/>
      <c r="N330" s="458"/>
      <c r="O330" s="458"/>
      <c r="P330" s="458"/>
      <c r="Q330" s="458"/>
      <c r="R330" s="458"/>
      <c r="S330" s="458"/>
      <c r="T330" s="458"/>
      <c r="U330" s="458"/>
      <c r="V330" s="458"/>
      <c r="W330" s="458"/>
    </row>
    <row r="331" spans="1:23" ht="15.75" customHeight="1">
      <c r="A331" s="458"/>
      <c r="B331" s="458"/>
      <c r="C331" s="458"/>
      <c r="D331" s="458"/>
      <c r="E331" s="458"/>
      <c r="F331" s="458"/>
      <c r="G331" s="458"/>
      <c r="H331" s="458"/>
      <c r="I331" s="458"/>
      <c r="J331" s="458"/>
      <c r="K331" s="458"/>
      <c r="L331" s="458"/>
      <c r="M331" s="458"/>
      <c r="N331" s="458"/>
      <c r="O331" s="458"/>
      <c r="P331" s="458"/>
      <c r="Q331" s="458"/>
      <c r="R331" s="458"/>
      <c r="S331" s="458"/>
      <c r="T331" s="458"/>
      <c r="U331" s="458"/>
      <c r="V331" s="458"/>
      <c r="W331" s="458"/>
    </row>
    <row r="332" spans="1:23" ht="15.75" customHeight="1">
      <c r="A332" s="458"/>
      <c r="B332" s="458"/>
      <c r="C332" s="458"/>
      <c r="D332" s="458"/>
      <c r="E332" s="458"/>
      <c r="F332" s="458"/>
      <c r="G332" s="458"/>
      <c r="H332" s="458"/>
      <c r="I332" s="458"/>
      <c r="J332" s="458"/>
      <c r="K332" s="458"/>
      <c r="L332" s="458"/>
      <c r="M332" s="458"/>
      <c r="N332" s="458"/>
      <c r="O332" s="458"/>
      <c r="P332" s="458"/>
      <c r="Q332" s="458"/>
      <c r="R332" s="458"/>
      <c r="S332" s="458"/>
      <c r="T332" s="458"/>
      <c r="U332" s="458"/>
      <c r="V332" s="458"/>
      <c r="W332" s="458"/>
    </row>
    <row r="333" spans="1:23" ht="15.75" customHeight="1">
      <c r="A333" s="458"/>
      <c r="B333" s="458"/>
      <c r="C333" s="458"/>
      <c r="D333" s="458"/>
      <c r="E333" s="458"/>
      <c r="F333" s="458"/>
      <c r="G333" s="458"/>
      <c r="H333" s="458"/>
      <c r="I333" s="458"/>
      <c r="J333" s="458"/>
      <c r="K333" s="458"/>
      <c r="L333" s="458"/>
      <c r="M333" s="458"/>
      <c r="N333" s="458"/>
      <c r="O333" s="458"/>
      <c r="P333" s="458"/>
      <c r="Q333" s="458"/>
      <c r="R333" s="458"/>
      <c r="S333" s="458"/>
      <c r="T333" s="458"/>
      <c r="U333" s="458"/>
      <c r="V333" s="458"/>
      <c r="W333" s="458"/>
    </row>
    <row r="334" spans="1:23" ht="15.75" customHeight="1">
      <c r="A334" s="458"/>
      <c r="B334" s="458"/>
      <c r="C334" s="458"/>
      <c r="D334" s="458"/>
      <c r="E334" s="458"/>
      <c r="F334" s="458"/>
      <c r="G334" s="458"/>
      <c r="H334" s="458"/>
      <c r="I334" s="458"/>
      <c r="J334" s="458"/>
      <c r="K334" s="458"/>
      <c r="L334" s="458"/>
      <c r="M334" s="458"/>
      <c r="N334" s="458"/>
      <c r="O334" s="458"/>
      <c r="P334" s="458"/>
      <c r="Q334" s="458"/>
      <c r="R334" s="458"/>
      <c r="S334" s="458"/>
      <c r="T334" s="458"/>
      <c r="U334" s="458"/>
      <c r="V334" s="458"/>
      <c r="W334" s="458"/>
    </row>
    <row r="335" spans="1:23" ht="15.75" customHeight="1">
      <c r="A335" s="458"/>
      <c r="B335" s="458"/>
      <c r="C335" s="458"/>
      <c r="D335" s="458"/>
      <c r="E335" s="458"/>
      <c r="F335" s="458"/>
      <c r="G335" s="458"/>
      <c r="H335" s="458"/>
      <c r="I335" s="458"/>
      <c r="J335" s="458"/>
      <c r="K335" s="458"/>
      <c r="L335" s="458"/>
      <c r="M335" s="458"/>
      <c r="N335" s="458"/>
      <c r="O335" s="458"/>
      <c r="P335" s="458"/>
      <c r="Q335" s="458"/>
      <c r="R335" s="458"/>
      <c r="S335" s="458"/>
      <c r="T335" s="458"/>
      <c r="U335" s="458"/>
      <c r="V335" s="458"/>
      <c r="W335" s="458"/>
    </row>
    <row r="336" spans="1:23" ht="15.75" customHeight="1">
      <c r="A336" s="458"/>
      <c r="B336" s="458"/>
      <c r="C336" s="458"/>
      <c r="D336" s="458"/>
      <c r="E336" s="458"/>
      <c r="F336" s="458"/>
      <c r="G336" s="458"/>
      <c r="H336" s="458"/>
      <c r="I336" s="458"/>
      <c r="J336" s="458"/>
      <c r="K336" s="458"/>
      <c r="L336" s="458"/>
      <c r="M336" s="458"/>
      <c r="N336" s="458"/>
      <c r="O336" s="458"/>
      <c r="P336" s="458"/>
      <c r="Q336" s="458"/>
      <c r="R336" s="458"/>
      <c r="S336" s="458"/>
      <c r="T336" s="458"/>
      <c r="U336" s="458"/>
      <c r="V336" s="458"/>
      <c r="W336" s="458"/>
    </row>
    <row r="337" spans="1:23" ht="15.75" customHeight="1">
      <c r="A337" s="458"/>
      <c r="B337" s="458"/>
      <c r="C337" s="458"/>
      <c r="D337" s="458"/>
      <c r="E337" s="458"/>
      <c r="F337" s="458"/>
      <c r="G337" s="458"/>
      <c r="H337" s="458"/>
      <c r="I337" s="458"/>
      <c r="J337" s="458"/>
      <c r="K337" s="458"/>
      <c r="L337" s="458"/>
      <c r="M337" s="458"/>
      <c r="N337" s="458"/>
      <c r="O337" s="458"/>
      <c r="P337" s="458"/>
      <c r="Q337" s="458"/>
      <c r="R337" s="458"/>
      <c r="S337" s="458"/>
      <c r="T337" s="458"/>
      <c r="U337" s="458"/>
      <c r="V337" s="458"/>
      <c r="W337" s="458"/>
    </row>
    <row r="338" spans="1:23" ht="15.75" customHeight="1">
      <c r="A338" s="458"/>
      <c r="B338" s="458"/>
      <c r="C338" s="458"/>
      <c r="D338" s="458"/>
      <c r="E338" s="458"/>
      <c r="F338" s="458"/>
      <c r="G338" s="458"/>
      <c r="H338" s="458"/>
      <c r="I338" s="458"/>
      <c r="J338" s="458"/>
      <c r="K338" s="458"/>
      <c r="L338" s="458"/>
      <c r="M338" s="458"/>
      <c r="N338" s="458"/>
      <c r="O338" s="458"/>
      <c r="P338" s="458"/>
      <c r="Q338" s="458"/>
      <c r="R338" s="458"/>
      <c r="S338" s="458"/>
      <c r="T338" s="458"/>
      <c r="U338" s="458"/>
      <c r="V338" s="458"/>
      <c r="W338" s="458"/>
    </row>
    <row r="339" spans="1:23" ht="15.75" customHeight="1">
      <c r="A339" s="458"/>
      <c r="B339" s="458"/>
      <c r="C339" s="458"/>
      <c r="D339" s="458"/>
      <c r="E339" s="458"/>
      <c r="F339" s="458"/>
      <c r="G339" s="458"/>
      <c r="H339" s="458"/>
      <c r="I339" s="458"/>
      <c r="J339" s="458"/>
      <c r="K339" s="458"/>
      <c r="L339" s="458"/>
      <c r="M339" s="458"/>
      <c r="N339" s="458"/>
      <c r="O339" s="458"/>
      <c r="P339" s="458"/>
      <c r="Q339" s="458"/>
      <c r="R339" s="458"/>
      <c r="S339" s="458"/>
      <c r="T339" s="458"/>
      <c r="U339" s="458"/>
      <c r="V339" s="458"/>
      <c r="W339" s="458"/>
    </row>
    <row r="340" spans="1:23" ht="15.75" customHeight="1">
      <c r="A340" s="458"/>
      <c r="B340" s="458"/>
      <c r="C340" s="458"/>
      <c r="D340" s="458"/>
      <c r="E340" s="458"/>
      <c r="F340" s="458"/>
      <c r="G340" s="458"/>
      <c r="H340" s="458"/>
      <c r="I340" s="458"/>
      <c r="J340" s="458"/>
      <c r="K340" s="458"/>
      <c r="L340" s="458"/>
      <c r="M340" s="458"/>
      <c r="N340" s="458"/>
      <c r="O340" s="458"/>
      <c r="P340" s="458"/>
      <c r="Q340" s="458"/>
      <c r="R340" s="458"/>
      <c r="S340" s="458"/>
      <c r="T340" s="458"/>
      <c r="U340" s="458"/>
      <c r="V340" s="458"/>
      <c r="W340" s="458"/>
    </row>
    <row r="341" spans="1:23" ht="15.75" customHeight="1">
      <c r="A341" s="458"/>
      <c r="B341" s="458"/>
      <c r="C341" s="458"/>
      <c r="D341" s="458"/>
      <c r="E341" s="458"/>
      <c r="F341" s="458"/>
      <c r="G341" s="458"/>
      <c r="H341" s="458"/>
      <c r="I341" s="458"/>
      <c r="J341" s="458"/>
      <c r="K341" s="458"/>
      <c r="L341" s="458"/>
      <c r="M341" s="458"/>
      <c r="N341" s="458"/>
      <c r="O341" s="458"/>
      <c r="P341" s="458"/>
      <c r="Q341" s="458"/>
      <c r="R341" s="458"/>
      <c r="S341" s="458"/>
      <c r="T341" s="458"/>
      <c r="U341" s="458"/>
      <c r="V341" s="458"/>
      <c r="W341" s="458"/>
    </row>
    <row r="342" spans="1:23" ht="15.75" customHeight="1">
      <c r="A342" s="458"/>
      <c r="B342" s="458"/>
      <c r="C342" s="458"/>
      <c r="D342" s="458"/>
      <c r="E342" s="458"/>
      <c r="F342" s="458"/>
      <c r="G342" s="458"/>
      <c r="H342" s="458"/>
      <c r="I342" s="458"/>
      <c r="J342" s="458"/>
      <c r="K342" s="458"/>
      <c r="L342" s="458"/>
      <c r="M342" s="458"/>
      <c r="N342" s="458"/>
      <c r="O342" s="458"/>
      <c r="P342" s="458"/>
      <c r="Q342" s="458"/>
      <c r="R342" s="458"/>
      <c r="S342" s="458"/>
      <c r="T342" s="458"/>
      <c r="U342" s="458"/>
      <c r="V342" s="458"/>
      <c r="W342" s="458"/>
    </row>
    <row r="343" spans="1:23" ht="15.75" customHeight="1">
      <c r="A343" s="458"/>
      <c r="B343" s="458"/>
      <c r="C343" s="458"/>
      <c r="D343" s="458"/>
      <c r="E343" s="458"/>
      <c r="F343" s="458"/>
      <c r="G343" s="458"/>
      <c r="H343" s="458"/>
      <c r="I343" s="458"/>
      <c r="J343" s="458"/>
      <c r="K343" s="458"/>
      <c r="L343" s="458"/>
      <c r="M343" s="458"/>
      <c r="N343" s="458"/>
      <c r="O343" s="458"/>
      <c r="P343" s="458"/>
      <c r="Q343" s="458"/>
      <c r="R343" s="458"/>
      <c r="S343" s="458"/>
      <c r="T343" s="458"/>
      <c r="U343" s="458"/>
      <c r="V343" s="458"/>
      <c r="W343" s="458"/>
    </row>
    <row r="344" spans="1:23" ht="15.75" customHeight="1">
      <c r="A344" s="458"/>
      <c r="B344" s="458"/>
      <c r="C344" s="458"/>
      <c r="D344" s="458"/>
      <c r="E344" s="458"/>
      <c r="F344" s="458"/>
      <c r="G344" s="458"/>
      <c r="H344" s="458"/>
      <c r="I344" s="458"/>
      <c r="J344" s="458"/>
      <c r="K344" s="458"/>
      <c r="L344" s="458"/>
      <c r="M344" s="458"/>
      <c r="N344" s="458"/>
      <c r="O344" s="458"/>
      <c r="P344" s="458"/>
      <c r="Q344" s="458"/>
      <c r="R344" s="458"/>
      <c r="S344" s="458"/>
      <c r="T344" s="458"/>
      <c r="U344" s="458"/>
      <c r="V344" s="458"/>
      <c r="W344" s="458"/>
    </row>
    <row r="345" spans="1:23" ht="15.75" customHeight="1">
      <c r="A345" s="458"/>
      <c r="B345" s="458"/>
      <c r="C345" s="458"/>
      <c r="D345" s="458"/>
      <c r="E345" s="458"/>
      <c r="F345" s="458"/>
      <c r="G345" s="458"/>
      <c r="H345" s="458"/>
      <c r="I345" s="458"/>
      <c r="J345" s="458"/>
      <c r="K345" s="458"/>
      <c r="L345" s="458"/>
      <c r="M345" s="458"/>
      <c r="N345" s="458"/>
      <c r="O345" s="458"/>
      <c r="P345" s="458"/>
      <c r="Q345" s="458"/>
      <c r="R345" s="458"/>
      <c r="S345" s="458"/>
      <c r="T345" s="458"/>
      <c r="U345" s="458"/>
      <c r="V345" s="458"/>
      <c r="W345" s="458"/>
    </row>
    <row r="346" spans="1:23" ht="15.75" customHeight="1">
      <c r="A346" s="458"/>
      <c r="B346" s="458"/>
      <c r="C346" s="458"/>
      <c r="D346" s="458"/>
      <c r="E346" s="458"/>
      <c r="F346" s="458"/>
      <c r="G346" s="458"/>
      <c r="H346" s="458"/>
      <c r="I346" s="458"/>
      <c r="J346" s="458"/>
      <c r="K346" s="458"/>
      <c r="L346" s="458"/>
      <c r="M346" s="458"/>
      <c r="N346" s="458"/>
      <c r="O346" s="458"/>
      <c r="P346" s="458"/>
      <c r="Q346" s="458"/>
      <c r="R346" s="458"/>
      <c r="S346" s="458"/>
      <c r="T346" s="458"/>
      <c r="U346" s="458"/>
      <c r="V346" s="458"/>
      <c r="W346" s="458"/>
    </row>
    <row r="347" spans="1:23" ht="15.75" customHeight="1">
      <c r="A347" s="458"/>
      <c r="B347" s="458"/>
      <c r="C347" s="458"/>
      <c r="D347" s="458"/>
      <c r="E347" s="458"/>
      <c r="F347" s="458"/>
      <c r="G347" s="458"/>
      <c r="H347" s="458"/>
      <c r="I347" s="458"/>
      <c r="J347" s="458"/>
      <c r="K347" s="458"/>
      <c r="L347" s="458"/>
      <c r="M347" s="458"/>
      <c r="N347" s="458"/>
      <c r="O347" s="458"/>
      <c r="P347" s="458"/>
      <c r="Q347" s="458"/>
      <c r="R347" s="458"/>
      <c r="S347" s="458"/>
      <c r="T347" s="458"/>
      <c r="U347" s="458"/>
      <c r="V347" s="458"/>
      <c r="W347" s="458"/>
    </row>
    <row r="348" spans="1:23" ht="15.75" customHeight="1">
      <c r="A348" s="458"/>
      <c r="B348" s="458"/>
      <c r="C348" s="458"/>
      <c r="D348" s="458"/>
      <c r="E348" s="458"/>
      <c r="F348" s="458"/>
      <c r="G348" s="458"/>
      <c r="H348" s="458"/>
      <c r="I348" s="458"/>
      <c r="J348" s="458"/>
      <c r="K348" s="458"/>
      <c r="L348" s="458"/>
      <c r="M348" s="458"/>
      <c r="N348" s="458"/>
      <c r="O348" s="458"/>
      <c r="P348" s="458"/>
      <c r="Q348" s="458"/>
      <c r="R348" s="458"/>
      <c r="S348" s="458"/>
      <c r="T348" s="458"/>
      <c r="U348" s="458"/>
      <c r="V348" s="458"/>
      <c r="W348" s="458"/>
    </row>
    <row r="349" spans="1:23" ht="15.75" customHeight="1">
      <c r="A349" s="458"/>
      <c r="B349" s="458"/>
      <c r="C349" s="458"/>
      <c r="D349" s="458"/>
      <c r="E349" s="458"/>
      <c r="F349" s="458"/>
      <c r="G349" s="458"/>
      <c r="H349" s="458"/>
      <c r="I349" s="458"/>
      <c r="J349" s="458"/>
      <c r="K349" s="458"/>
      <c r="L349" s="458"/>
      <c r="M349" s="458"/>
      <c r="N349" s="458"/>
      <c r="O349" s="458"/>
      <c r="P349" s="458"/>
      <c r="Q349" s="458"/>
      <c r="R349" s="458"/>
      <c r="S349" s="458"/>
      <c r="T349" s="458"/>
      <c r="U349" s="458"/>
      <c r="V349" s="458"/>
      <c r="W349" s="458"/>
    </row>
    <row r="350" spans="1:23" ht="15.75" customHeight="1">
      <c r="A350" s="458"/>
      <c r="B350" s="458"/>
      <c r="C350" s="458"/>
      <c r="D350" s="458"/>
      <c r="E350" s="458"/>
      <c r="F350" s="458"/>
      <c r="G350" s="458"/>
      <c r="H350" s="458"/>
      <c r="I350" s="458"/>
      <c r="J350" s="458"/>
      <c r="K350" s="458"/>
      <c r="L350" s="458"/>
      <c r="M350" s="458"/>
      <c r="N350" s="458"/>
      <c r="O350" s="458"/>
      <c r="P350" s="458"/>
      <c r="Q350" s="458"/>
      <c r="R350" s="458"/>
      <c r="S350" s="458"/>
      <c r="T350" s="458"/>
      <c r="U350" s="458"/>
      <c r="V350" s="458"/>
      <c r="W350" s="458"/>
    </row>
    <row r="351" spans="1:23" ht="15.75" customHeight="1">
      <c r="A351" s="458"/>
      <c r="B351" s="458"/>
      <c r="C351" s="458"/>
      <c r="D351" s="458"/>
      <c r="E351" s="458"/>
      <c r="F351" s="458"/>
      <c r="G351" s="458"/>
      <c r="H351" s="458"/>
      <c r="I351" s="458"/>
      <c r="J351" s="458"/>
      <c r="K351" s="458"/>
      <c r="L351" s="458"/>
      <c r="M351" s="458"/>
      <c r="N351" s="458"/>
      <c r="O351" s="458"/>
      <c r="P351" s="458"/>
      <c r="Q351" s="458"/>
      <c r="R351" s="458"/>
      <c r="S351" s="458"/>
      <c r="T351" s="458"/>
      <c r="U351" s="458"/>
      <c r="V351" s="458"/>
      <c r="W351" s="458"/>
    </row>
    <row r="352" spans="1:23" ht="15.75" customHeight="1">
      <c r="A352" s="458"/>
      <c r="B352" s="458"/>
      <c r="C352" s="458"/>
      <c r="D352" s="458"/>
      <c r="E352" s="458"/>
      <c r="F352" s="458"/>
      <c r="G352" s="458"/>
      <c r="H352" s="458"/>
      <c r="I352" s="458"/>
      <c r="J352" s="458"/>
      <c r="K352" s="458"/>
      <c r="L352" s="458"/>
      <c r="M352" s="458"/>
      <c r="N352" s="458"/>
      <c r="O352" s="458"/>
      <c r="P352" s="458"/>
      <c r="Q352" s="458"/>
      <c r="R352" s="458"/>
      <c r="S352" s="458"/>
      <c r="T352" s="458"/>
      <c r="U352" s="458"/>
      <c r="V352" s="458"/>
      <c r="W352" s="458"/>
    </row>
    <row r="353" spans="1:23" ht="15.75" customHeight="1">
      <c r="A353" s="458"/>
      <c r="B353" s="458"/>
      <c r="C353" s="458"/>
      <c r="D353" s="458"/>
      <c r="E353" s="458"/>
      <c r="F353" s="458"/>
      <c r="G353" s="458"/>
      <c r="H353" s="458"/>
      <c r="I353" s="458"/>
      <c r="J353" s="458"/>
      <c r="K353" s="458"/>
      <c r="L353" s="458"/>
      <c r="M353" s="458"/>
      <c r="N353" s="458"/>
      <c r="O353" s="458"/>
      <c r="P353" s="458"/>
      <c r="Q353" s="458"/>
      <c r="R353" s="458"/>
      <c r="S353" s="458"/>
      <c r="T353" s="458"/>
      <c r="U353" s="458"/>
      <c r="V353" s="458"/>
      <c r="W353" s="458"/>
    </row>
    <row r="354" spans="1:23" ht="15.75" customHeight="1">
      <c r="A354" s="458"/>
      <c r="B354" s="458"/>
      <c r="C354" s="458"/>
      <c r="D354" s="458"/>
      <c r="E354" s="458"/>
      <c r="F354" s="458"/>
      <c r="G354" s="458"/>
      <c r="H354" s="458"/>
      <c r="I354" s="458"/>
      <c r="J354" s="458"/>
      <c r="K354" s="458"/>
      <c r="L354" s="458"/>
      <c r="M354" s="458"/>
      <c r="N354" s="458"/>
      <c r="O354" s="458"/>
      <c r="P354" s="458"/>
      <c r="Q354" s="458"/>
      <c r="R354" s="458"/>
      <c r="S354" s="458"/>
      <c r="T354" s="458"/>
      <c r="U354" s="458"/>
      <c r="V354" s="458"/>
      <c r="W354" s="458"/>
    </row>
    <row r="355" spans="1:23" ht="15.75" customHeight="1">
      <c r="A355" s="458"/>
      <c r="B355" s="458"/>
      <c r="C355" s="458"/>
      <c r="D355" s="458"/>
      <c r="E355" s="458"/>
      <c r="F355" s="458"/>
      <c r="G355" s="458"/>
      <c r="H355" s="458"/>
      <c r="I355" s="458"/>
      <c r="J355" s="458"/>
      <c r="K355" s="458"/>
      <c r="L355" s="458"/>
      <c r="M355" s="458"/>
      <c r="N355" s="458"/>
      <c r="O355" s="458"/>
      <c r="P355" s="458"/>
      <c r="Q355" s="458"/>
      <c r="R355" s="458"/>
      <c r="S355" s="458"/>
      <c r="T355" s="458"/>
      <c r="U355" s="458"/>
      <c r="V355" s="458"/>
      <c r="W355" s="458"/>
    </row>
    <row r="356" spans="1:23" ht="15.75" customHeight="1">
      <c r="A356" s="458"/>
      <c r="B356" s="458"/>
      <c r="C356" s="458"/>
      <c r="D356" s="458"/>
      <c r="E356" s="458"/>
      <c r="F356" s="458"/>
      <c r="G356" s="458"/>
      <c r="H356" s="458"/>
      <c r="I356" s="458"/>
      <c r="J356" s="458"/>
      <c r="K356" s="458"/>
      <c r="L356" s="458"/>
      <c r="M356" s="458"/>
      <c r="N356" s="458"/>
      <c r="O356" s="458"/>
      <c r="P356" s="458"/>
      <c r="Q356" s="458"/>
      <c r="R356" s="458"/>
      <c r="S356" s="458"/>
      <c r="T356" s="458"/>
      <c r="U356" s="458"/>
      <c r="V356" s="458"/>
      <c r="W356" s="458"/>
    </row>
    <row r="357" spans="1:23" ht="15.75" customHeight="1">
      <c r="A357" s="458"/>
      <c r="B357" s="458"/>
      <c r="C357" s="458"/>
      <c r="D357" s="458"/>
      <c r="E357" s="458"/>
      <c r="F357" s="458"/>
      <c r="G357" s="458"/>
      <c r="H357" s="458"/>
      <c r="I357" s="458"/>
      <c r="J357" s="458"/>
      <c r="K357" s="458"/>
      <c r="L357" s="458"/>
      <c r="M357" s="458"/>
      <c r="N357" s="458"/>
      <c r="O357" s="458"/>
      <c r="P357" s="458"/>
      <c r="Q357" s="458"/>
      <c r="R357" s="458"/>
      <c r="S357" s="458"/>
      <c r="T357" s="458"/>
      <c r="U357" s="458"/>
      <c r="V357" s="458"/>
      <c r="W357" s="458"/>
    </row>
    <row r="358" spans="1:23" ht="15.75" customHeight="1">
      <c r="A358" s="458"/>
      <c r="B358" s="458"/>
      <c r="C358" s="458"/>
      <c r="D358" s="458"/>
      <c r="E358" s="458"/>
      <c r="F358" s="458"/>
      <c r="G358" s="458"/>
      <c r="H358" s="458"/>
      <c r="I358" s="458"/>
      <c r="J358" s="458"/>
      <c r="K358" s="458"/>
      <c r="L358" s="458"/>
      <c r="M358" s="458"/>
      <c r="N358" s="458"/>
      <c r="O358" s="458"/>
      <c r="P358" s="458"/>
      <c r="Q358" s="458"/>
      <c r="R358" s="458"/>
      <c r="S358" s="458"/>
      <c r="T358" s="458"/>
      <c r="U358" s="458"/>
      <c r="V358" s="458"/>
      <c r="W358" s="458"/>
    </row>
    <row r="359" spans="1:23" ht="15.75" customHeight="1">
      <c r="A359" s="458"/>
      <c r="B359" s="458"/>
      <c r="C359" s="458"/>
      <c r="D359" s="458"/>
      <c r="E359" s="458"/>
      <c r="F359" s="458"/>
      <c r="G359" s="458"/>
      <c r="H359" s="458"/>
      <c r="I359" s="458"/>
      <c r="J359" s="458"/>
      <c r="K359" s="458"/>
      <c r="L359" s="458"/>
      <c r="M359" s="458"/>
      <c r="N359" s="458"/>
      <c r="O359" s="458"/>
      <c r="P359" s="458"/>
      <c r="Q359" s="458"/>
      <c r="R359" s="458"/>
      <c r="S359" s="458"/>
      <c r="T359" s="458"/>
      <c r="U359" s="458"/>
      <c r="V359" s="458"/>
      <c r="W359" s="458"/>
    </row>
    <row r="360" spans="1:23" ht="15.75" customHeight="1">
      <c r="A360" s="458"/>
      <c r="B360" s="458"/>
      <c r="C360" s="458"/>
      <c r="D360" s="458"/>
      <c r="E360" s="458"/>
      <c r="F360" s="458"/>
      <c r="G360" s="458"/>
      <c r="H360" s="458"/>
      <c r="I360" s="458"/>
      <c r="J360" s="458"/>
      <c r="K360" s="458"/>
      <c r="L360" s="458"/>
      <c r="M360" s="458"/>
      <c r="N360" s="458"/>
      <c r="O360" s="458"/>
      <c r="P360" s="458"/>
      <c r="Q360" s="458"/>
      <c r="R360" s="458"/>
      <c r="S360" s="458"/>
      <c r="T360" s="458"/>
      <c r="U360" s="458"/>
      <c r="V360" s="458"/>
      <c r="W360" s="458"/>
    </row>
    <row r="361" spans="1:23" ht="15.75" customHeight="1">
      <c r="A361" s="458"/>
      <c r="B361" s="458"/>
      <c r="C361" s="458"/>
      <c r="D361" s="458"/>
      <c r="E361" s="458"/>
      <c r="F361" s="458"/>
      <c r="G361" s="458"/>
      <c r="H361" s="458"/>
      <c r="I361" s="458"/>
      <c r="J361" s="458"/>
      <c r="K361" s="458"/>
      <c r="L361" s="458"/>
      <c r="M361" s="458"/>
      <c r="N361" s="458"/>
      <c r="O361" s="458"/>
      <c r="P361" s="458"/>
      <c r="Q361" s="458"/>
      <c r="R361" s="458"/>
      <c r="S361" s="458"/>
      <c r="T361" s="458"/>
      <c r="U361" s="458"/>
      <c r="V361" s="458"/>
      <c r="W361" s="458"/>
    </row>
    <row r="362" spans="1:23" ht="15.75" customHeight="1">
      <c r="A362" s="458"/>
      <c r="B362" s="458"/>
      <c r="C362" s="458"/>
      <c r="D362" s="458"/>
      <c r="E362" s="458"/>
      <c r="F362" s="458"/>
      <c r="G362" s="458"/>
      <c r="H362" s="458"/>
      <c r="I362" s="458"/>
      <c r="J362" s="458"/>
      <c r="K362" s="458"/>
      <c r="L362" s="458"/>
      <c r="M362" s="458"/>
      <c r="N362" s="458"/>
      <c r="O362" s="458"/>
      <c r="P362" s="458"/>
      <c r="Q362" s="458"/>
      <c r="R362" s="458"/>
      <c r="S362" s="458"/>
      <c r="T362" s="458"/>
      <c r="U362" s="458"/>
      <c r="V362" s="458"/>
      <c r="W362" s="458"/>
    </row>
    <row r="363" spans="1:23" ht="15.75" customHeight="1">
      <c r="A363" s="458"/>
      <c r="B363" s="458"/>
      <c r="C363" s="458"/>
      <c r="D363" s="458"/>
      <c r="E363" s="458"/>
      <c r="F363" s="458"/>
      <c r="G363" s="458"/>
      <c r="H363" s="458"/>
      <c r="I363" s="458"/>
      <c r="J363" s="458"/>
      <c r="K363" s="458"/>
      <c r="L363" s="458"/>
      <c r="M363" s="458"/>
      <c r="N363" s="458"/>
      <c r="O363" s="458"/>
      <c r="P363" s="458"/>
      <c r="Q363" s="458"/>
      <c r="R363" s="458"/>
      <c r="S363" s="458"/>
      <c r="T363" s="458"/>
      <c r="U363" s="458"/>
      <c r="V363" s="458"/>
      <c r="W363" s="458"/>
    </row>
    <row r="364" spans="1:23" ht="15.75" customHeight="1">
      <c r="A364" s="458"/>
      <c r="B364" s="458"/>
      <c r="C364" s="458"/>
      <c r="D364" s="458"/>
      <c r="E364" s="458"/>
      <c r="F364" s="458"/>
      <c r="G364" s="458"/>
      <c r="H364" s="458"/>
      <c r="I364" s="458"/>
      <c r="J364" s="458"/>
      <c r="K364" s="458"/>
      <c r="L364" s="458"/>
      <c r="M364" s="458"/>
      <c r="N364" s="458"/>
      <c r="O364" s="458"/>
      <c r="P364" s="458"/>
      <c r="Q364" s="458"/>
      <c r="R364" s="458"/>
      <c r="S364" s="458"/>
      <c r="T364" s="458"/>
      <c r="U364" s="458"/>
      <c r="V364" s="458"/>
      <c r="W364" s="458"/>
    </row>
    <row r="365" spans="1:23" ht="15.75" customHeight="1">
      <c r="A365" s="458"/>
      <c r="B365" s="458"/>
      <c r="C365" s="458"/>
      <c r="D365" s="458"/>
      <c r="E365" s="458"/>
      <c r="F365" s="458"/>
      <c r="G365" s="458"/>
      <c r="H365" s="458"/>
      <c r="I365" s="458"/>
      <c r="J365" s="458"/>
      <c r="K365" s="458"/>
      <c r="L365" s="458"/>
      <c r="M365" s="458"/>
      <c r="N365" s="458"/>
      <c r="O365" s="458"/>
      <c r="P365" s="458"/>
      <c r="Q365" s="458"/>
      <c r="R365" s="458"/>
      <c r="S365" s="458"/>
      <c r="T365" s="458"/>
      <c r="U365" s="458"/>
      <c r="V365" s="458"/>
      <c r="W365" s="458"/>
    </row>
    <row r="366" spans="1:23" ht="15.75" customHeight="1">
      <c r="A366" s="458"/>
      <c r="B366" s="458"/>
      <c r="C366" s="458"/>
      <c r="D366" s="458"/>
      <c r="E366" s="458"/>
      <c r="F366" s="458"/>
      <c r="G366" s="458"/>
      <c r="H366" s="458"/>
      <c r="I366" s="458"/>
      <c r="J366" s="458"/>
      <c r="K366" s="458"/>
      <c r="L366" s="458"/>
      <c r="M366" s="458"/>
      <c r="N366" s="458"/>
      <c r="O366" s="458"/>
      <c r="P366" s="458"/>
      <c r="Q366" s="458"/>
      <c r="R366" s="458"/>
      <c r="S366" s="458"/>
      <c r="T366" s="458"/>
      <c r="U366" s="458"/>
      <c r="V366" s="458"/>
      <c r="W366" s="458"/>
    </row>
    <row r="367" spans="1:23" ht="15.75" customHeight="1">
      <c r="A367" s="458"/>
      <c r="B367" s="458"/>
      <c r="C367" s="458"/>
      <c r="D367" s="458"/>
      <c r="E367" s="458"/>
      <c r="F367" s="458"/>
      <c r="G367" s="458"/>
      <c r="H367" s="458"/>
      <c r="I367" s="458"/>
      <c r="J367" s="458"/>
      <c r="K367" s="458"/>
      <c r="L367" s="458"/>
      <c r="M367" s="458"/>
      <c r="N367" s="458"/>
      <c r="O367" s="458"/>
      <c r="P367" s="458"/>
      <c r="Q367" s="458"/>
      <c r="R367" s="458"/>
      <c r="S367" s="458"/>
      <c r="T367" s="458"/>
      <c r="U367" s="458"/>
      <c r="V367" s="458"/>
      <c r="W367" s="458"/>
    </row>
    <row r="368" spans="1:23" ht="15.75" customHeight="1">
      <c r="A368" s="458"/>
      <c r="B368" s="458"/>
      <c r="C368" s="458"/>
      <c r="D368" s="458"/>
      <c r="E368" s="458"/>
      <c r="F368" s="458"/>
      <c r="G368" s="458"/>
      <c r="H368" s="458"/>
      <c r="I368" s="458"/>
      <c r="J368" s="458"/>
      <c r="K368" s="458"/>
      <c r="L368" s="458"/>
      <c r="M368" s="458"/>
      <c r="N368" s="458"/>
      <c r="O368" s="458"/>
      <c r="P368" s="458"/>
      <c r="Q368" s="458"/>
      <c r="R368" s="458"/>
      <c r="S368" s="458"/>
      <c r="T368" s="458"/>
      <c r="U368" s="458"/>
      <c r="V368" s="458"/>
      <c r="W368" s="458"/>
    </row>
    <row r="369" spans="1:23" ht="15.75" customHeight="1">
      <c r="A369" s="458"/>
      <c r="B369" s="458"/>
      <c r="C369" s="458"/>
      <c r="D369" s="458"/>
      <c r="E369" s="458"/>
      <c r="F369" s="458"/>
      <c r="G369" s="458"/>
      <c r="H369" s="458"/>
      <c r="I369" s="458"/>
      <c r="J369" s="458"/>
      <c r="K369" s="458"/>
      <c r="L369" s="458"/>
      <c r="M369" s="458"/>
      <c r="N369" s="458"/>
      <c r="O369" s="458"/>
      <c r="P369" s="458"/>
      <c r="Q369" s="458"/>
      <c r="R369" s="458"/>
      <c r="S369" s="458"/>
      <c r="T369" s="458"/>
      <c r="U369" s="458"/>
      <c r="V369" s="458"/>
      <c r="W369" s="458"/>
    </row>
    <row r="370" spans="1:23" ht="15.75" customHeight="1">
      <c r="A370" s="458"/>
      <c r="B370" s="458"/>
      <c r="C370" s="458"/>
      <c r="D370" s="458"/>
      <c r="E370" s="458"/>
      <c r="F370" s="458"/>
      <c r="G370" s="458"/>
      <c r="H370" s="458"/>
      <c r="I370" s="458"/>
      <c r="J370" s="458"/>
      <c r="K370" s="458"/>
      <c r="L370" s="458"/>
      <c r="M370" s="458"/>
      <c r="N370" s="458"/>
      <c r="O370" s="458"/>
      <c r="P370" s="458"/>
      <c r="Q370" s="458"/>
      <c r="R370" s="458"/>
      <c r="S370" s="458"/>
      <c r="T370" s="458"/>
      <c r="U370" s="458"/>
      <c r="V370" s="458"/>
      <c r="W370" s="458"/>
    </row>
    <row r="371" spans="1:23" ht="15.75" customHeight="1">
      <c r="A371" s="458"/>
      <c r="B371" s="458"/>
      <c r="C371" s="458"/>
      <c r="D371" s="458"/>
      <c r="E371" s="458"/>
      <c r="F371" s="458"/>
      <c r="G371" s="458"/>
      <c r="H371" s="458"/>
      <c r="I371" s="458"/>
      <c r="J371" s="458"/>
      <c r="K371" s="458"/>
      <c r="L371" s="458"/>
      <c r="M371" s="458"/>
      <c r="N371" s="458"/>
      <c r="O371" s="458"/>
      <c r="P371" s="458"/>
      <c r="Q371" s="458"/>
      <c r="R371" s="458"/>
      <c r="S371" s="458"/>
      <c r="T371" s="458"/>
      <c r="U371" s="458"/>
      <c r="V371" s="458"/>
      <c r="W371" s="458"/>
    </row>
    <row r="372" spans="1:23" ht="15.75" customHeight="1">
      <c r="A372" s="458"/>
      <c r="B372" s="458"/>
      <c r="C372" s="458"/>
      <c r="D372" s="458"/>
      <c r="E372" s="458"/>
      <c r="F372" s="458"/>
      <c r="G372" s="458"/>
      <c r="H372" s="458"/>
      <c r="I372" s="458"/>
      <c r="J372" s="458"/>
      <c r="K372" s="458"/>
      <c r="L372" s="458"/>
      <c r="M372" s="458"/>
      <c r="N372" s="458"/>
      <c r="O372" s="458"/>
      <c r="P372" s="458"/>
      <c r="Q372" s="458"/>
      <c r="R372" s="458"/>
      <c r="S372" s="458"/>
      <c r="T372" s="458"/>
      <c r="U372" s="458"/>
      <c r="V372" s="458"/>
      <c r="W372" s="458"/>
    </row>
    <row r="373" spans="1:23" ht="15.75" customHeight="1">
      <c r="A373" s="458"/>
      <c r="B373" s="458"/>
      <c r="C373" s="458"/>
      <c r="D373" s="458"/>
      <c r="E373" s="458"/>
      <c r="F373" s="458"/>
      <c r="G373" s="458"/>
      <c r="H373" s="458"/>
      <c r="I373" s="458"/>
      <c r="J373" s="458"/>
      <c r="K373" s="458"/>
      <c r="L373" s="458"/>
      <c r="M373" s="458"/>
      <c r="N373" s="458"/>
      <c r="O373" s="458"/>
      <c r="P373" s="458"/>
      <c r="Q373" s="458"/>
      <c r="R373" s="458"/>
      <c r="S373" s="458"/>
      <c r="T373" s="458"/>
      <c r="U373" s="458"/>
      <c r="V373" s="458"/>
      <c r="W373" s="458"/>
    </row>
    <row r="374" spans="1:23" ht="15.75" customHeight="1">
      <c r="A374" s="458"/>
      <c r="B374" s="458"/>
      <c r="C374" s="458"/>
      <c r="D374" s="458"/>
      <c r="E374" s="458"/>
      <c r="F374" s="458"/>
      <c r="G374" s="458"/>
      <c r="H374" s="458"/>
      <c r="I374" s="458"/>
      <c r="J374" s="458"/>
      <c r="K374" s="458"/>
      <c r="L374" s="458"/>
      <c r="M374" s="458"/>
      <c r="N374" s="458"/>
      <c r="O374" s="458"/>
      <c r="P374" s="458"/>
      <c r="Q374" s="458"/>
      <c r="R374" s="458"/>
      <c r="S374" s="458"/>
      <c r="T374" s="458"/>
      <c r="U374" s="458"/>
      <c r="V374" s="458"/>
      <c r="W374" s="458"/>
    </row>
    <row r="375" spans="1:23" ht="15.75" customHeight="1">
      <c r="A375" s="458"/>
      <c r="B375" s="458"/>
      <c r="C375" s="458"/>
      <c r="D375" s="458"/>
      <c r="E375" s="458"/>
      <c r="F375" s="458"/>
      <c r="G375" s="458"/>
      <c r="H375" s="458"/>
      <c r="I375" s="458"/>
      <c r="J375" s="458"/>
      <c r="K375" s="458"/>
      <c r="L375" s="458"/>
      <c r="M375" s="458"/>
      <c r="N375" s="458"/>
      <c r="O375" s="458"/>
      <c r="P375" s="458"/>
      <c r="Q375" s="458"/>
      <c r="R375" s="458"/>
      <c r="S375" s="458"/>
      <c r="T375" s="458"/>
      <c r="U375" s="458"/>
      <c r="V375" s="458"/>
      <c r="W375" s="458"/>
    </row>
    <row r="376" spans="1:23" ht="15.75" customHeight="1">
      <c r="A376" s="458"/>
      <c r="B376" s="458"/>
      <c r="C376" s="458"/>
      <c r="D376" s="458"/>
      <c r="E376" s="458"/>
      <c r="F376" s="458"/>
      <c r="G376" s="458"/>
      <c r="H376" s="458"/>
      <c r="I376" s="458"/>
      <c r="J376" s="458"/>
      <c r="K376" s="458"/>
      <c r="L376" s="458"/>
      <c r="M376" s="458"/>
      <c r="N376" s="458"/>
      <c r="O376" s="458"/>
      <c r="P376" s="458"/>
      <c r="Q376" s="458"/>
      <c r="R376" s="458"/>
      <c r="S376" s="458"/>
      <c r="T376" s="458"/>
      <c r="U376" s="458"/>
      <c r="V376" s="458"/>
      <c r="W376" s="458"/>
    </row>
    <row r="377" spans="1:23" ht="15.75" customHeight="1">
      <c r="A377" s="458"/>
      <c r="B377" s="458"/>
      <c r="C377" s="458"/>
      <c r="D377" s="458"/>
      <c r="E377" s="458"/>
      <c r="F377" s="458"/>
      <c r="G377" s="458"/>
      <c r="H377" s="458"/>
      <c r="I377" s="458"/>
      <c r="J377" s="458"/>
      <c r="K377" s="458"/>
      <c r="L377" s="458"/>
      <c r="M377" s="458"/>
      <c r="N377" s="458"/>
      <c r="O377" s="458"/>
      <c r="P377" s="458"/>
      <c r="Q377" s="458"/>
      <c r="R377" s="458"/>
      <c r="S377" s="458"/>
      <c r="T377" s="458"/>
      <c r="U377" s="458"/>
      <c r="V377" s="458"/>
      <c r="W377" s="458"/>
    </row>
    <row r="378" spans="1:23" ht="15.75" customHeight="1">
      <c r="A378" s="458"/>
      <c r="B378" s="458"/>
      <c r="C378" s="458"/>
      <c r="D378" s="458"/>
      <c r="E378" s="458"/>
      <c r="F378" s="458"/>
      <c r="G378" s="458"/>
      <c r="H378" s="458"/>
      <c r="I378" s="458"/>
      <c r="J378" s="458"/>
      <c r="K378" s="458"/>
      <c r="L378" s="458"/>
      <c r="M378" s="458"/>
      <c r="N378" s="458"/>
      <c r="O378" s="458"/>
      <c r="P378" s="458"/>
      <c r="Q378" s="458"/>
      <c r="R378" s="458"/>
      <c r="S378" s="458"/>
      <c r="T378" s="458"/>
      <c r="U378" s="458"/>
      <c r="V378" s="458"/>
      <c r="W378" s="458"/>
    </row>
    <row r="379" spans="1:23" ht="15.75" customHeight="1">
      <c r="A379" s="458"/>
      <c r="B379" s="458"/>
      <c r="C379" s="458"/>
      <c r="D379" s="458"/>
      <c r="E379" s="458"/>
      <c r="F379" s="458"/>
      <c r="G379" s="458"/>
      <c r="H379" s="458"/>
      <c r="I379" s="458"/>
      <c r="J379" s="458"/>
      <c r="K379" s="458"/>
      <c r="L379" s="458"/>
      <c r="M379" s="458"/>
      <c r="N379" s="458"/>
      <c r="O379" s="458"/>
      <c r="P379" s="458"/>
      <c r="Q379" s="458"/>
      <c r="R379" s="458"/>
      <c r="S379" s="458"/>
      <c r="T379" s="458"/>
      <c r="U379" s="458"/>
      <c r="V379" s="458"/>
      <c r="W379" s="458"/>
    </row>
    <row r="380" spans="1:23" ht="15.75" customHeight="1">
      <c r="A380" s="458"/>
      <c r="B380" s="458"/>
      <c r="C380" s="458"/>
      <c r="D380" s="458"/>
      <c r="E380" s="458"/>
      <c r="F380" s="458"/>
      <c r="G380" s="458"/>
      <c r="H380" s="458"/>
      <c r="I380" s="458"/>
      <c r="J380" s="458"/>
      <c r="K380" s="458"/>
      <c r="L380" s="458"/>
      <c r="M380" s="458"/>
      <c r="N380" s="458"/>
      <c r="O380" s="458"/>
      <c r="P380" s="458"/>
      <c r="Q380" s="458"/>
      <c r="R380" s="458"/>
      <c r="S380" s="458"/>
      <c r="T380" s="458"/>
      <c r="U380" s="458"/>
      <c r="V380" s="458"/>
      <c r="W380" s="458"/>
    </row>
    <row r="381" spans="1:23" ht="15.75" customHeight="1">
      <c r="A381" s="458"/>
      <c r="B381" s="458"/>
      <c r="C381" s="458"/>
      <c r="D381" s="458"/>
      <c r="E381" s="458"/>
      <c r="F381" s="458"/>
      <c r="G381" s="458"/>
      <c r="H381" s="458"/>
      <c r="I381" s="458"/>
      <c r="J381" s="458"/>
      <c r="K381" s="458"/>
      <c r="L381" s="458"/>
      <c r="M381" s="458"/>
      <c r="N381" s="458"/>
      <c r="O381" s="458"/>
      <c r="P381" s="458"/>
      <c r="Q381" s="458"/>
      <c r="R381" s="458"/>
      <c r="S381" s="458"/>
      <c r="T381" s="458"/>
      <c r="U381" s="458"/>
      <c r="V381" s="458"/>
      <c r="W381" s="458"/>
    </row>
    <row r="382" spans="1:23" ht="15.75" customHeight="1">
      <c r="A382" s="458"/>
      <c r="B382" s="458"/>
      <c r="C382" s="458"/>
      <c r="D382" s="458"/>
      <c r="E382" s="458"/>
      <c r="F382" s="458"/>
      <c r="G382" s="458"/>
      <c r="H382" s="458"/>
      <c r="I382" s="458"/>
      <c r="J382" s="458"/>
      <c r="K382" s="458"/>
      <c r="L382" s="458"/>
      <c r="M382" s="458"/>
      <c r="N382" s="458"/>
      <c r="O382" s="458"/>
      <c r="P382" s="458"/>
      <c r="Q382" s="458"/>
      <c r="R382" s="458"/>
      <c r="S382" s="458"/>
      <c r="T382" s="458"/>
      <c r="U382" s="458"/>
      <c r="V382" s="458"/>
      <c r="W382" s="458"/>
    </row>
    <row r="383" spans="1:23" ht="15.75" customHeight="1">
      <c r="A383" s="458"/>
      <c r="B383" s="458"/>
      <c r="C383" s="458"/>
      <c r="D383" s="458"/>
      <c r="E383" s="458"/>
      <c r="F383" s="458"/>
      <c r="G383" s="458"/>
      <c r="H383" s="458"/>
      <c r="I383" s="458"/>
      <c r="J383" s="458"/>
      <c r="K383" s="458"/>
      <c r="L383" s="458"/>
      <c r="M383" s="458"/>
      <c r="N383" s="458"/>
      <c r="O383" s="458"/>
      <c r="P383" s="458"/>
      <c r="Q383" s="458"/>
      <c r="R383" s="458"/>
      <c r="S383" s="458"/>
      <c r="T383" s="458"/>
      <c r="U383" s="458"/>
      <c r="V383" s="458"/>
      <c r="W383" s="458"/>
    </row>
    <row r="384" spans="1:23" ht="15.75" customHeight="1">
      <c r="A384" s="458"/>
      <c r="B384" s="458"/>
      <c r="C384" s="458"/>
      <c r="D384" s="458"/>
      <c r="E384" s="458"/>
      <c r="F384" s="458"/>
      <c r="G384" s="458"/>
      <c r="H384" s="458"/>
      <c r="I384" s="458"/>
      <c r="J384" s="458"/>
      <c r="K384" s="458"/>
      <c r="L384" s="458"/>
      <c r="M384" s="458"/>
      <c r="N384" s="458"/>
      <c r="O384" s="458"/>
      <c r="P384" s="458"/>
      <c r="Q384" s="458"/>
      <c r="R384" s="458"/>
      <c r="S384" s="458"/>
      <c r="T384" s="458"/>
      <c r="U384" s="458"/>
      <c r="V384" s="458"/>
      <c r="W384" s="458"/>
    </row>
    <row r="385" spans="1:23" ht="15.75" customHeight="1">
      <c r="A385" s="458"/>
      <c r="B385" s="458"/>
      <c r="C385" s="458"/>
      <c r="D385" s="458"/>
      <c r="E385" s="458"/>
      <c r="F385" s="458"/>
      <c r="G385" s="458"/>
      <c r="H385" s="458"/>
      <c r="I385" s="458"/>
      <c r="J385" s="458"/>
      <c r="K385" s="458"/>
      <c r="L385" s="458"/>
      <c r="M385" s="458"/>
      <c r="N385" s="458"/>
      <c r="O385" s="458"/>
      <c r="P385" s="458"/>
      <c r="Q385" s="458"/>
      <c r="R385" s="458"/>
      <c r="S385" s="458"/>
      <c r="T385" s="458"/>
      <c r="U385" s="458"/>
      <c r="V385" s="458"/>
      <c r="W385" s="458"/>
    </row>
    <row r="386" spans="1:23" ht="15.75" customHeight="1">
      <c r="A386" s="458"/>
      <c r="B386" s="458"/>
      <c r="C386" s="458"/>
      <c r="D386" s="458"/>
      <c r="E386" s="458"/>
      <c r="F386" s="458"/>
      <c r="G386" s="458"/>
      <c r="H386" s="458"/>
      <c r="I386" s="458"/>
      <c r="J386" s="458"/>
      <c r="K386" s="458"/>
      <c r="L386" s="458"/>
      <c r="M386" s="458"/>
      <c r="N386" s="458"/>
      <c r="O386" s="458"/>
      <c r="P386" s="458"/>
      <c r="Q386" s="458"/>
      <c r="R386" s="458"/>
      <c r="S386" s="458"/>
      <c r="T386" s="458"/>
      <c r="U386" s="458"/>
      <c r="V386" s="458"/>
      <c r="W386" s="458"/>
    </row>
    <row r="387" spans="1:23" ht="15.75" customHeight="1">
      <c r="A387" s="458"/>
      <c r="B387" s="458"/>
      <c r="C387" s="458"/>
      <c r="D387" s="458"/>
      <c r="E387" s="458"/>
      <c r="F387" s="458"/>
      <c r="G387" s="458"/>
      <c r="H387" s="458"/>
      <c r="I387" s="458"/>
      <c r="J387" s="458"/>
      <c r="K387" s="458"/>
      <c r="L387" s="458"/>
      <c r="M387" s="458"/>
      <c r="N387" s="458"/>
      <c r="O387" s="458"/>
      <c r="P387" s="458"/>
      <c r="Q387" s="458"/>
      <c r="R387" s="458"/>
      <c r="S387" s="458"/>
      <c r="T387" s="458"/>
      <c r="U387" s="458"/>
      <c r="V387" s="458"/>
      <c r="W387" s="458"/>
    </row>
    <row r="388" spans="1:23" ht="15.75" customHeight="1">
      <c r="A388" s="458"/>
      <c r="B388" s="458"/>
      <c r="C388" s="458"/>
      <c r="D388" s="458"/>
      <c r="E388" s="458"/>
      <c r="F388" s="458"/>
      <c r="G388" s="458"/>
      <c r="H388" s="458"/>
      <c r="I388" s="458"/>
      <c r="J388" s="458"/>
      <c r="K388" s="458"/>
      <c r="L388" s="458"/>
      <c r="M388" s="458"/>
      <c r="N388" s="458"/>
      <c r="O388" s="458"/>
      <c r="P388" s="458"/>
      <c r="Q388" s="458"/>
      <c r="R388" s="458"/>
      <c r="S388" s="458"/>
      <c r="T388" s="458"/>
      <c r="U388" s="458"/>
      <c r="V388" s="458"/>
      <c r="W388" s="458"/>
    </row>
    <row r="389" spans="1:23" ht="15.75" customHeight="1">
      <c r="A389" s="458"/>
      <c r="B389" s="458"/>
      <c r="C389" s="458"/>
      <c r="D389" s="458"/>
      <c r="E389" s="458"/>
      <c r="F389" s="458"/>
      <c r="G389" s="458"/>
      <c r="H389" s="458"/>
      <c r="I389" s="458"/>
      <c r="J389" s="458"/>
      <c r="K389" s="458"/>
      <c r="L389" s="458"/>
      <c r="M389" s="458"/>
      <c r="N389" s="458"/>
      <c r="O389" s="458"/>
      <c r="P389" s="458"/>
      <c r="Q389" s="458"/>
      <c r="R389" s="458"/>
      <c r="S389" s="458"/>
      <c r="T389" s="458"/>
      <c r="U389" s="458"/>
      <c r="V389" s="458"/>
      <c r="W389" s="458"/>
    </row>
    <row r="390" spans="1:23" ht="15.75" customHeight="1">
      <c r="A390" s="458"/>
      <c r="B390" s="458"/>
      <c r="C390" s="458"/>
      <c r="D390" s="458"/>
      <c r="E390" s="458"/>
      <c r="F390" s="458"/>
      <c r="G390" s="458"/>
      <c r="H390" s="458"/>
      <c r="I390" s="458"/>
      <c r="J390" s="458"/>
      <c r="K390" s="458"/>
      <c r="L390" s="458"/>
      <c r="M390" s="458"/>
      <c r="N390" s="458"/>
      <c r="O390" s="458"/>
      <c r="P390" s="458"/>
      <c r="Q390" s="458"/>
      <c r="R390" s="458"/>
      <c r="S390" s="458"/>
      <c r="T390" s="458"/>
      <c r="U390" s="458"/>
      <c r="V390" s="458"/>
      <c r="W390" s="458"/>
    </row>
    <row r="391" spans="1:23" ht="15.75" customHeight="1">
      <c r="A391" s="458"/>
      <c r="B391" s="458"/>
      <c r="C391" s="458"/>
      <c r="D391" s="458"/>
      <c r="E391" s="458"/>
      <c r="F391" s="458"/>
      <c r="G391" s="458"/>
      <c r="H391" s="458"/>
      <c r="I391" s="458"/>
      <c r="J391" s="458"/>
      <c r="K391" s="458"/>
      <c r="L391" s="458"/>
      <c r="M391" s="458"/>
      <c r="N391" s="458"/>
      <c r="O391" s="458"/>
      <c r="P391" s="458"/>
      <c r="Q391" s="458"/>
      <c r="R391" s="458"/>
      <c r="S391" s="458"/>
      <c r="T391" s="458"/>
      <c r="U391" s="458"/>
      <c r="V391" s="458"/>
      <c r="W391" s="458"/>
    </row>
    <row r="392" spans="1:23" ht="15.75" customHeight="1">
      <c r="A392" s="458"/>
      <c r="B392" s="458"/>
      <c r="C392" s="458"/>
      <c r="D392" s="458"/>
      <c r="E392" s="458"/>
      <c r="F392" s="458"/>
      <c r="G392" s="458"/>
      <c r="H392" s="458"/>
      <c r="I392" s="458"/>
      <c r="J392" s="458"/>
      <c r="K392" s="458"/>
      <c r="L392" s="458"/>
      <c r="M392" s="458"/>
      <c r="N392" s="458"/>
      <c r="O392" s="458"/>
      <c r="P392" s="458"/>
      <c r="Q392" s="458"/>
      <c r="R392" s="458"/>
      <c r="S392" s="458"/>
      <c r="T392" s="458"/>
      <c r="U392" s="458"/>
      <c r="V392" s="458"/>
      <c r="W392" s="458"/>
    </row>
    <row r="393" spans="1:23" ht="15.75" customHeight="1">
      <c r="A393" s="458"/>
      <c r="B393" s="458"/>
      <c r="C393" s="458"/>
      <c r="D393" s="458"/>
      <c r="E393" s="458"/>
      <c r="F393" s="458"/>
      <c r="G393" s="458"/>
      <c r="H393" s="458"/>
      <c r="I393" s="458"/>
      <c r="J393" s="458"/>
      <c r="K393" s="458"/>
      <c r="L393" s="458"/>
      <c r="M393" s="458"/>
      <c r="N393" s="458"/>
      <c r="O393" s="458"/>
      <c r="P393" s="458"/>
      <c r="Q393" s="458"/>
      <c r="R393" s="458"/>
      <c r="S393" s="458"/>
      <c r="T393" s="458"/>
      <c r="U393" s="458"/>
      <c r="V393" s="458"/>
      <c r="W393" s="458"/>
    </row>
    <row r="394" spans="1:23" ht="15.75" customHeight="1">
      <c r="A394" s="458"/>
      <c r="B394" s="458"/>
      <c r="C394" s="458"/>
      <c r="D394" s="458"/>
      <c r="E394" s="458"/>
      <c r="F394" s="458"/>
      <c r="G394" s="458"/>
      <c r="H394" s="458"/>
      <c r="I394" s="458"/>
      <c r="J394" s="458"/>
      <c r="K394" s="458"/>
      <c r="L394" s="458"/>
      <c r="M394" s="458"/>
      <c r="N394" s="458"/>
      <c r="O394" s="458"/>
      <c r="P394" s="458"/>
      <c r="Q394" s="458"/>
      <c r="R394" s="458"/>
      <c r="S394" s="458"/>
      <c r="T394" s="458"/>
      <c r="U394" s="458"/>
      <c r="V394" s="458"/>
      <c r="W394" s="458"/>
    </row>
    <row r="395" spans="1:23" ht="15.75" customHeight="1">
      <c r="A395" s="458"/>
      <c r="B395" s="458"/>
      <c r="C395" s="458"/>
      <c r="D395" s="458"/>
      <c r="E395" s="458"/>
      <c r="F395" s="458"/>
      <c r="G395" s="458"/>
      <c r="H395" s="458"/>
      <c r="I395" s="458"/>
      <c r="J395" s="458"/>
      <c r="K395" s="458"/>
      <c r="L395" s="458"/>
      <c r="M395" s="458"/>
      <c r="N395" s="458"/>
      <c r="O395" s="458"/>
      <c r="P395" s="458"/>
      <c r="Q395" s="458"/>
      <c r="R395" s="458"/>
      <c r="S395" s="458"/>
      <c r="T395" s="458"/>
      <c r="U395" s="458"/>
      <c r="V395" s="458"/>
      <c r="W395" s="458"/>
    </row>
    <row r="396" spans="1:23" ht="15.75" customHeight="1">
      <c r="A396" s="458"/>
      <c r="B396" s="458"/>
      <c r="C396" s="458"/>
      <c r="D396" s="458"/>
      <c r="E396" s="458"/>
      <c r="F396" s="458"/>
      <c r="G396" s="458"/>
      <c r="H396" s="458"/>
      <c r="I396" s="458"/>
      <c r="J396" s="458"/>
      <c r="K396" s="458"/>
      <c r="L396" s="458"/>
      <c r="M396" s="458"/>
      <c r="N396" s="458"/>
      <c r="O396" s="458"/>
      <c r="P396" s="458"/>
      <c r="Q396" s="458"/>
      <c r="R396" s="458"/>
      <c r="S396" s="458"/>
      <c r="T396" s="458"/>
      <c r="U396" s="458"/>
      <c r="V396" s="458"/>
      <c r="W396" s="458"/>
    </row>
    <row r="397" spans="1:23" ht="15.75" customHeight="1">
      <c r="A397" s="458"/>
      <c r="B397" s="458"/>
      <c r="C397" s="458"/>
      <c r="D397" s="458"/>
      <c r="E397" s="458"/>
      <c r="F397" s="458"/>
      <c r="G397" s="458"/>
      <c r="H397" s="458"/>
      <c r="I397" s="458"/>
      <c r="J397" s="458"/>
      <c r="K397" s="458"/>
      <c r="L397" s="458"/>
      <c r="M397" s="458"/>
      <c r="N397" s="458"/>
      <c r="O397" s="458"/>
      <c r="P397" s="458"/>
      <c r="Q397" s="458"/>
      <c r="R397" s="458"/>
      <c r="S397" s="458"/>
      <c r="T397" s="458"/>
      <c r="U397" s="458"/>
      <c r="V397" s="458"/>
      <c r="W397" s="458"/>
    </row>
    <row r="398" spans="1:23" ht="15.75" customHeight="1">
      <c r="A398" s="458"/>
      <c r="B398" s="458"/>
      <c r="C398" s="458"/>
      <c r="D398" s="458"/>
      <c r="E398" s="458"/>
      <c r="F398" s="458"/>
      <c r="G398" s="458"/>
      <c r="H398" s="458"/>
      <c r="I398" s="458"/>
      <c r="J398" s="458"/>
      <c r="K398" s="458"/>
      <c r="L398" s="458"/>
      <c r="M398" s="458"/>
      <c r="N398" s="458"/>
      <c r="O398" s="458"/>
      <c r="P398" s="458"/>
      <c r="Q398" s="458"/>
      <c r="R398" s="458"/>
      <c r="S398" s="458"/>
      <c r="T398" s="458"/>
      <c r="U398" s="458"/>
      <c r="V398" s="458"/>
      <c r="W398" s="458"/>
    </row>
    <row r="399" spans="1:23" ht="15.75" customHeight="1">
      <c r="A399" s="458"/>
      <c r="B399" s="458"/>
      <c r="C399" s="458"/>
      <c r="D399" s="458"/>
      <c r="E399" s="458"/>
      <c r="F399" s="458"/>
      <c r="G399" s="458"/>
      <c r="H399" s="458"/>
      <c r="I399" s="458"/>
      <c r="J399" s="458"/>
      <c r="K399" s="458"/>
      <c r="L399" s="458"/>
      <c r="M399" s="458"/>
      <c r="N399" s="458"/>
      <c r="O399" s="458"/>
      <c r="P399" s="458"/>
      <c r="Q399" s="458"/>
      <c r="R399" s="458"/>
      <c r="S399" s="458"/>
      <c r="T399" s="458"/>
      <c r="U399" s="458"/>
      <c r="V399" s="458"/>
      <c r="W399" s="458"/>
    </row>
    <row r="400" spans="1:23" ht="15.75" customHeight="1">
      <c r="A400" s="458"/>
      <c r="B400" s="458"/>
      <c r="C400" s="458"/>
      <c r="D400" s="458"/>
      <c r="E400" s="458"/>
      <c r="F400" s="458"/>
      <c r="G400" s="458"/>
      <c r="H400" s="458"/>
      <c r="I400" s="458"/>
      <c r="J400" s="458"/>
      <c r="K400" s="458"/>
      <c r="L400" s="458"/>
      <c r="M400" s="458"/>
      <c r="N400" s="458"/>
      <c r="O400" s="458"/>
      <c r="P400" s="458"/>
      <c r="Q400" s="458"/>
      <c r="R400" s="458"/>
      <c r="S400" s="458"/>
      <c r="T400" s="458"/>
      <c r="U400" s="458"/>
      <c r="V400" s="458"/>
      <c r="W400" s="458"/>
    </row>
    <row r="401" spans="1:23" ht="15.75" customHeight="1">
      <c r="A401" s="458"/>
      <c r="B401" s="458"/>
      <c r="C401" s="458"/>
      <c r="D401" s="458"/>
      <c r="E401" s="458"/>
      <c r="F401" s="458"/>
      <c r="G401" s="458"/>
      <c r="H401" s="458"/>
      <c r="I401" s="458"/>
      <c r="J401" s="458"/>
      <c r="K401" s="458"/>
      <c r="L401" s="458"/>
      <c r="M401" s="458"/>
      <c r="N401" s="458"/>
      <c r="O401" s="458"/>
      <c r="P401" s="458"/>
      <c r="Q401" s="458"/>
      <c r="R401" s="458"/>
      <c r="S401" s="458"/>
      <c r="T401" s="458"/>
      <c r="U401" s="458"/>
      <c r="V401" s="458"/>
      <c r="W401" s="458"/>
    </row>
    <row r="402" spans="1:23" ht="15.75" customHeight="1">
      <c r="A402" s="458"/>
      <c r="B402" s="458"/>
      <c r="C402" s="458"/>
      <c r="D402" s="458"/>
      <c r="E402" s="458"/>
      <c r="F402" s="458"/>
      <c r="G402" s="458"/>
      <c r="H402" s="458"/>
      <c r="I402" s="458"/>
      <c r="J402" s="458"/>
      <c r="K402" s="458"/>
      <c r="L402" s="458"/>
      <c r="M402" s="458"/>
      <c r="N402" s="458"/>
      <c r="O402" s="458"/>
      <c r="P402" s="458"/>
      <c r="Q402" s="458"/>
      <c r="R402" s="458"/>
      <c r="S402" s="458"/>
      <c r="T402" s="458"/>
      <c r="U402" s="458"/>
      <c r="V402" s="458"/>
      <c r="W402" s="458"/>
    </row>
    <row r="403" spans="1:23" ht="15.75" customHeight="1">
      <c r="A403" s="458"/>
      <c r="B403" s="458"/>
      <c r="C403" s="458"/>
      <c r="D403" s="458"/>
      <c r="E403" s="458"/>
      <c r="F403" s="458"/>
      <c r="G403" s="458"/>
      <c r="H403" s="458"/>
      <c r="I403" s="458"/>
      <c r="J403" s="458"/>
      <c r="K403" s="458"/>
      <c r="L403" s="458"/>
      <c r="M403" s="458"/>
      <c r="N403" s="458"/>
      <c r="O403" s="458"/>
      <c r="P403" s="458"/>
      <c r="Q403" s="458"/>
      <c r="R403" s="458"/>
      <c r="S403" s="458"/>
      <c r="T403" s="458"/>
      <c r="U403" s="458"/>
      <c r="V403" s="458"/>
      <c r="W403" s="458"/>
    </row>
    <row r="404" spans="1:23" ht="15.75" customHeight="1">
      <c r="A404" s="458"/>
      <c r="B404" s="458"/>
      <c r="C404" s="458"/>
      <c r="D404" s="458"/>
      <c r="E404" s="458"/>
      <c r="F404" s="458"/>
      <c r="G404" s="458"/>
      <c r="H404" s="458"/>
      <c r="I404" s="458"/>
      <c r="J404" s="458"/>
      <c r="K404" s="458"/>
      <c r="L404" s="458"/>
      <c r="M404" s="458"/>
      <c r="N404" s="458"/>
      <c r="O404" s="458"/>
      <c r="P404" s="458"/>
      <c r="Q404" s="458"/>
      <c r="R404" s="458"/>
      <c r="S404" s="458"/>
      <c r="T404" s="458"/>
      <c r="U404" s="458"/>
      <c r="V404" s="458"/>
      <c r="W404" s="458"/>
    </row>
    <row r="405" spans="1:23" ht="15.75" customHeight="1">
      <c r="A405" s="458"/>
      <c r="B405" s="458"/>
      <c r="C405" s="458"/>
      <c r="D405" s="458"/>
      <c r="E405" s="458"/>
      <c r="F405" s="458"/>
      <c r="G405" s="458"/>
      <c r="H405" s="458"/>
      <c r="I405" s="458"/>
      <c r="J405" s="458"/>
      <c r="K405" s="458"/>
      <c r="L405" s="458"/>
      <c r="M405" s="458"/>
      <c r="N405" s="458"/>
      <c r="O405" s="458"/>
      <c r="P405" s="458"/>
      <c r="Q405" s="458"/>
      <c r="R405" s="458"/>
      <c r="S405" s="458"/>
      <c r="T405" s="458"/>
      <c r="U405" s="458"/>
      <c r="V405" s="458"/>
      <c r="W405" s="458"/>
    </row>
    <row r="406" spans="1:23" ht="15.75" customHeight="1">
      <c r="A406" s="458"/>
      <c r="B406" s="458"/>
      <c r="C406" s="458"/>
      <c r="D406" s="458"/>
      <c r="E406" s="458"/>
      <c r="F406" s="458"/>
      <c r="G406" s="458"/>
      <c r="H406" s="458"/>
      <c r="I406" s="458"/>
      <c r="J406" s="458"/>
      <c r="K406" s="458"/>
      <c r="L406" s="458"/>
      <c r="M406" s="458"/>
      <c r="N406" s="458"/>
      <c r="O406" s="458"/>
      <c r="P406" s="458"/>
      <c r="Q406" s="458"/>
      <c r="R406" s="458"/>
      <c r="S406" s="458"/>
      <c r="T406" s="458"/>
      <c r="U406" s="458"/>
      <c r="V406" s="458"/>
      <c r="W406" s="458"/>
    </row>
    <row r="407" spans="1:23" ht="15.75" customHeight="1">
      <c r="A407" s="458"/>
      <c r="B407" s="458"/>
      <c r="C407" s="458"/>
      <c r="D407" s="458"/>
      <c r="E407" s="458"/>
      <c r="F407" s="458"/>
      <c r="G407" s="458"/>
      <c r="H407" s="458"/>
      <c r="I407" s="458"/>
      <c r="J407" s="458"/>
      <c r="K407" s="458"/>
      <c r="L407" s="458"/>
      <c r="M407" s="458"/>
      <c r="N407" s="458"/>
      <c r="O407" s="458"/>
      <c r="P407" s="458"/>
      <c r="Q407" s="458"/>
      <c r="R407" s="458"/>
      <c r="S407" s="458"/>
      <c r="T407" s="458"/>
      <c r="U407" s="458"/>
      <c r="V407" s="458"/>
      <c r="W407" s="458"/>
    </row>
    <row r="408" spans="1:23" ht="15.75" customHeight="1">
      <c r="A408" s="458"/>
      <c r="B408" s="458"/>
      <c r="C408" s="458"/>
      <c r="D408" s="458"/>
      <c r="E408" s="458"/>
      <c r="F408" s="458"/>
      <c r="G408" s="458"/>
      <c r="H408" s="458"/>
      <c r="I408" s="458"/>
      <c r="J408" s="458"/>
      <c r="K408" s="458"/>
      <c r="L408" s="458"/>
      <c r="M408" s="458"/>
      <c r="N408" s="458"/>
      <c r="O408" s="458"/>
      <c r="P408" s="458"/>
      <c r="Q408" s="458"/>
      <c r="R408" s="458"/>
      <c r="S408" s="458"/>
      <c r="T408" s="458"/>
      <c r="U408" s="458"/>
      <c r="V408" s="458"/>
      <c r="W408" s="458"/>
    </row>
    <row r="409" spans="1:23" ht="15.75" customHeight="1">
      <c r="A409" s="458"/>
      <c r="B409" s="458"/>
      <c r="C409" s="458"/>
      <c r="D409" s="458"/>
      <c r="E409" s="458"/>
      <c r="F409" s="458"/>
      <c r="G409" s="458"/>
      <c r="H409" s="458"/>
      <c r="I409" s="458"/>
      <c r="J409" s="458"/>
      <c r="K409" s="458"/>
      <c r="L409" s="458"/>
      <c r="M409" s="458"/>
      <c r="N409" s="458"/>
      <c r="O409" s="458"/>
      <c r="P409" s="458"/>
      <c r="Q409" s="458"/>
      <c r="R409" s="458"/>
      <c r="S409" s="458"/>
      <c r="T409" s="458"/>
      <c r="U409" s="458"/>
      <c r="V409" s="458"/>
      <c r="W409" s="458"/>
    </row>
    <row r="410" spans="1:23" ht="15.75" customHeight="1">
      <c r="A410" s="458"/>
      <c r="B410" s="458"/>
      <c r="C410" s="458"/>
      <c r="D410" s="458"/>
      <c r="E410" s="458"/>
      <c r="F410" s="458"/>
      <c r="G410" s="458"/>
      <c r="H410" s="458"/>
      <c r="I410" s="458"/>
      <c r="J410" s="458"/>
      <c r="K410" s="458"/>
      <c r="L410" s="458"/>
      <c r="M410" s="458"/>
      <c r="N410" s="458"/>
      <c r="O410" s="458"/>
      <c r="P410" s="458"/>
      <c r="Q410" s="458"/>
      <c r="R410" s="458"/>
      <c r="S410" s="458"/>
      <c r="T410" s="458"/>
      <c r="U410" s="458"/>
      <c r="V410" s="458"/>
      <c r="W410" s="458"/>
    </row>
    <row r="411" spans="1:23" ht="15.75" customHeight="1">
      <c r="A411" s="458"/>
      <c r="B411" s="458"/>
      <c r="C411" s="458"/>
      <c r="D411" s="458"/>
      <c r="E411" s="458"/>
      <c r="F411" s="458"/>
      <c r="G411" s="458"/>
      <c r="H411" s="458"/>
      <c r="I411" s="458"/>
      <c r="J411" s="458"/>
      <c r="K411" s="458"/>
      <c r="L411" s="458"/>
      <c r="M411" s="458"/>
      <c r="N411" s="458"/>
      <c r="O411" s="458"/>
      <c r="P411" s="458"/>
      <c r="Q411" s="458"/>
      <c r="R411" s="458"/>
      <c r="S411" s="458"/>
      <c r="T411" s="458"/>
      <c r="U411" s="458"/>
      <c r="V411" s="458"/>
      <c r="W411" s="458"/>
    </row>
    <row r="412" spans="1:23" ht="15.75" customHeight="1">
      <c r="A412" s="458"/>
      <c r="B412" s="458"/>
      <c r="C412" s="458"/>
      <c r="D412" s="458"/>
      <c r="E412" s="458"/>
      <c r="F412" s="458"/>
      <c r="G412" s="458"/>
      <c r="H412" s="458"/>
      <c r="I412" s="458"/>
      <c r="J412" s="458"/>
      <c r="K412" s="458"/>
      <c r="L412" s="458"/>
      <c r="M412" s="458"/>
      <c r="N412" s="458"/>
      <c r="O412" s="458"/>
      <c r="P412" s="458"/>
      <c r="Q412" s="458"/>
      <c r="R412" s="458"/>
      <c r="S412" s="458"/>
      <c r="T412" s="458"/>
      <c r="U412" s="458"/>
      <c r="V412" s="458"/>
      <c r="W412" s="458"/>
    </row>
    <row r="413" spans="1:23" ht="15.75" customHeight="1">
      <c r="A413" s="458"/>
      <c r="B413" s="458"/>
      <c r="C413" s="458"/>
      <c r="D413" s="458"/>
      <c r="E413" s="458"/>
      <c r="F413" s="458"/>
      <c r="G413" s="458"/>
      <c r="H413" s="458"/>
      <c r="I413" s="458"/>
      <c r="J413" s="458"/>
      <c r="K413" s="458"/>
      <c r="L413" s="458"/>
      <c r="M413" s="458"/>
      <c r="N413" s="458"/>
      <c r="O413" s="458"/>
      <c r="P413" s="458"/>
      <c r="Q413" s="458"/>
      <c r="R413" s="458"/>
      <c r="S413" s="458"/>
      <c r="T413" s="458"/>
      <c r="U413" s="458"/>
      <c r="V413" s="458"/>
      <c r="W413" s="458"/>
    </row>
    <row r="414" spans="1:23" ht="15.75" customHeight="1">
      <c r="A414" s="458"/>
      <c r="B414" s="458"/>
      <c r="C414" s="458"/>
      <c r="D414" s="458"/>
      <c r="E414" s="458"/>
      <c r="F414" s="458"/>
      <c r="G414" s="458"/>
      <c r="H414" s="458"/>
      <c r="I414" s="458"/>
      <c r="J414" s="458"/>
      <c r="K414" s="458"/>
      <c r="L414" s="458"/>
      <c r="M414" s="458"/>
      <c r="N414" s="458"/>
      <c r="O414" s="458"/>
      <c r="P414" s="458"/>
      <c r="Q414" s="458"/>
      <c r="R414" s="458"/>
      <c r="S414" s="458"/>
      <c r="T414" s="458"/>
      <c r="U414" s="458"/>
      <c r="V414" s="458"/>
      <c r="W414" s="458"/>
    </row>
    <row r="415" spans="1:23" ht="15.75" customHeight="1">
      <c r="A415" s="458"/>
      <c r="B415" s="458"/>
      <c r="C415" s="458"/>
      <c r="D415" s="458"/>
      <c r="E415" s="458"/>
      <c r="F415" s="458"/>
      <c r="G415" s="458"/>
      <c r="H415" s="458"/>
      <c r="I415" s="458"/>
      <c r="J415" s="458"/>
      <c r="K415" s="458"/>
      <c r="L415" s="458"/>
      <c r="M415" s="458"/>
      <c r="N415" s="458"/>
      <c r="O415" s="458"/>
      <c r="P415" s="458"/>
      <c r="Q415" s="458"/>
      <c r="R415" s="458"/>
      <c r="S415" s="458"/>
      <c r="T415" s="458"/>
      <c r="U415" s="458"/>
      <c r="V415" s="458"/>
      <c r="W415" s="458"/>
    </row>
    <row r="416" spans="1:23" ht="15.75" customHeight="1">
      <c r="A416" s="458"/>
      <c r="B416" s="458"/>
      <c r="C416" s="458"/>
      <c r="D416" s="458"/>
      <c r="E416" s="458"/>
      <c r="F416" s="458"/>
      <c r="G416" s="458"/>
      <c r="H416" s="458"/>
      <c r="I416" s="458"/>
      <c r="J416" s="458"/>
      <c r="K416" s="458"/>
      <c r="L416" s="458"/>
      <c r="M416" s="458"/>
      <c r="N416" s="458"/>
      <c r="O416" s="458"/>
      <c r="P416" s="458"/>
      <c r="Q416" s="458"/>
      <c r="R416" s="458"/>
      <c r="S416" s="458"/>
      <c r="T416" s="458"/>
      <c r="U416" s="458"/>
      <c r="V416" s="458"/>
      <c r="W416" s="458"/>
    </row>
    <row r="417" spans="1:23" ht="15.75" customHeight="1">
      <c r="A417" s="458"/>
      <c r="B417" s="458"/>
      <c r="C417" s="458"/>
      <c r="D417" s="458"/>
      <c r="E417" s="458"/>
      <c r="F417" s="458"/>
      <c r="G417" s="458"/>
      <c r="H417" s="458"/>
      <c r="I417" s="458"/>
      <c r="J417" s="458"/>
      <c r="K417" s="458"/>
      <c r="L417" s="458"/>
      <c r="M417" s="458"/>
      <c r="N417" s="458"/>
      <c r="O417" s="458"/>
      <c r="P417" s="458"/>
      <c r="Q417" s="458"/>
      <c r="R417" s="458"/>
      <c r="S417" s="458"/>
      <c r="T417" s="458"/>
      <c r="U417" s="458"/>
      <c r="V417" s="458"/>
      <c r="W417" s="458"/>
    </row>
    <row r="418" spans="1:23" ht="15.75" customHeight="1">
      <c r="A418" s="458"/>
      <c r="B418" s="458"/>
      <c r="C418" s="458"/>
      <c r="D418" s="458"/>
      <c r="E418" s="458"/>
      <c r="F418" s="458"/>
      <c r="G418" s="458"/>
      <c r="H418" s="458"/>
      <c r="I418" s="458"/>
      <c r="J418" s="458"/>
      <c r="K418" s="458"/>
      <c r="L418" s="458"/>
      <c r="M418" s="458"/>
      <c r="N418" s="458"/>
      <c r="O418" s="458"/>
      <c r="P418" s="458"/>
      <c r="Q418" s="458"/>
      <c r="R418" s="458"/>
      <c r="S418" s="458"/>
      <c r="T418" s="458"/>
      <c r="U418" s="458"/>
      <c r="V418" s="458"/>
      <c r="W418" s="458"/>
    </row>
    <row r="419" spans="1:23" ht="15.75" customHeight="1">
      <c r="A419" s="458"/>
      <c r="B419" s="458"/>
      <c r="C419" s="458"/>
      <c r="D419" s="458"/>
      <c r="E419" s="458"/>
      <c r="F419" s="458"/>
      <c r="G419" s="458"/>
      <c r="H419" s="458"/>
      <c r="I419" s="458"/>
      <c r="J419" s="458"/>
      <c r="K419" s="458"/>
      <c r="L419" s="458"/>
      <c r="M419" s="458"/>
      <c r="N419" s="458"/>
      <c r="O419" s="458"/>
      <c r="P419" s="458"/>
      <c r="Q419" s="458"/>
      <c r="R419" s="458"/>
      <c r="S419" s="458"/>
      <c r="T419" s="458"/>
      <c r="U419" s="458"/>
      <c r="V419" s="458"/>
      <c r="W419" s="458"/>
    </row>
    <row r="420" spans="1:23" ht="15.75" customHeight="1">
      <c r="A420" s="458"/>
      <c r="B420" s="458"/>
      <c r="C420" s="458"/>
      <c r="D420" s="458"/>
      <c r="E420" s="458"/>
      <c r="F420" s="458"/>
      <c r="G420" s="458"/>
      <c r="H420" s="458"/>
      <c r="I420" s="458"/>
      <c r="J420" s="458"/>
      <c r="K420" s="458"/>
      <c r="L420" s="458"/>
      <c r="M420" s="458"/>
      <c r="N420" s="458"/>
      <c r="O420" s="458"/>
      <c r="P420" s="458"/>
      <c r="Q420" s="458"/>
      <c r="R420" s="458"/>
      <c r="S420" s="458"/>
      <c r="T420" s="458"/>
      <c r="U420" s="458"/>
      <c r="V420" s="458"/>
      <c r="W420" s="458"/>
    </row>
    <row r="421" spans="1:23" ht="15.75" customHeight="1">
      <c r="A421" s="458"/>
      <c r="B421" s="458"/>
      <c r="C421" s="458"/>
      <c r="D421" s="458"/>
      <c r="E421" s="458"/>
      <c r="F421" s="458"/>
      <c r="G421" s="458"/>
      <c r="H421" s="458"/>
      <c r="I421" s="458"/>
      <c r="J421" s="458"/>
      <c r="K421" s="458"/>
      <c r="L421" s="458"/>
      <c r="M421" s="458"/>
      <c r="N421" s="458"/>
      <c r="O421" s="458"/>
      <c r="P421" s="458"/>
      <c r="Q421" s="458"/>
      <c r="R421" s="458"/>
      <c r="S421" s="458"/>
      <c r="T421" s="458"/>
      <c r="U421" s="458"/>
      <c r="V421" s="458"/>
      <c r="W421" s="458"/>
    </row>
    <row r="422" spans="1:23" ht="15.75" customHeight="1">
      <c r="A422" s="458"/>
      <c r="B422" s="458"/>
      <c r="C422" s="458"/>
      <c r="D422" s="458"/>
      <c r="E422" s="458"/>
      <c r="F422" s="458"/>
      <c r="G422" s="458"/>
      <c r="H422" s="458"/>
      <c r="I422" s="458"/>
      <c r="J422" s="458"/>
      <c r="K422" s="458"/>
      <c r="L422" s="458"/>
      <c r="M422" s="458"/>
      <c r="N422" s="458"/>
      <c r="O422" s="458"/>
      <c r="P422" s="458"/>
      <c r="Q422" s="458"/>
      <c r="R422" s="458"/>
      <c r="S422" s="458"/>
      <c r="T422" s="458"/>
      <c r="U422" s="458"/>
      <c r="V422" s="458"/>
      <c r="W422" s="458"/>
    </row>
    <row r="423" spans="1:23" ht="15.75" customHeight="1">
      <c r="A423" s="458"/>
      <c r="B423" s="458"/>
      <c r="C423" s="458"/>
      <c r="D423" s="458"/>
      <c r="E423" s="458"/>
      <c r="F423" s="458"/>
      <c r="G423" s="458"/>
      <c r="H423" s="458"/>
      <c r="I423" s="458"/>
      <c r="J423" s="458"/>
      <c r="K423" s="458"/>
      <c r="L423" s="458"/>
      <c r="M423" s="458"/>
      <c r="N423" s="458"/>
      <c r="O423" s="458"/>
      <c r="P423" s="458"/>
      <c r="Q423" s="458"/>
      <c r="R423" s="458"/>
      <c r="S423" s="458"/>
      <c r="T423" s="458"/>
      <c r="U423" s="458"/>
      <c r="V423" s="458"/>
      <c r="W423" s="458"/>
    </row>
    <row r="424" spans="1:23" ht="15.75" customHeight="1">
      <c r="A424" s="458"/>
      <c r="B424" s="458"/>
      <c r="C424" s="458"/>
      <c r="D424" s="458"/>
      <c r="E424" s="458"/>
      <c r="F424" s="458"/>
      <c r="G424" s="458"/>
      <c r="H424" s="458"/>
      <c r="I424" s="458"/>
      <c r="J424" s="458"/>
      <c r="K424" s="458"/>
      <c r="L424" s="458"/>
      <c r="M424" s="458"/>
      <c r="N424" s="458"/>
      <c r="O424" s="458"/>
      <c r="P424" s="458"/>
      <c r="Q424" s="458"/>
      <c r="R424" s="458"/>
      <c r="S424" s="458"/>
      <c r="T424" s="458"/>
      <c r="U424" s="458"/>
      <c r="V424" s="458"/>
      <c r="W424" s="458"/>
    </row>
    <row r="425" spans="1:23" ht="15.75" customHeight="1">
      <c r="A425" s="458"/>
      <c r="B425" s="458"/>
      <c r="C425" s="458"/>
      <c r="D425" s="458"/>
      <c r="E425" s="458"/>
      <c r="F425" s="458"/>
      <c r="G425" s="458"/>
      <c r="H425" s="458"/>
      <c r="I425" s="458"/>
      <c r="J425" s="458"/>
      <c r="K425" s="458"/>
      <c r="L425" s="458"/>
      <c r="M425" s="458"/>
      <c r="N425" s="458"/>
      <c r="O425" s="458"/>
      <c r="P425" s="458"/>
      <c r="Q425" s="458"/>
      <c r="R425" s="458"/>
      <c r="S425" s="458"/>
      <c r="T425" s="458"/>
      <c r="U425" s="458"/>
      <c r="V425" s="458"/>
      <c r="W425" s="458"/>
    </row>
    <row r="426" spans="1:23" ht="15.75" customHeight="1">
      <c r="A426" s="458"/>
      <c r="B426" s="458"/>
      <c r="C426" s="458"/>
      <c r="D426" s="458"/>
      <c r="E426" s="458"/>
      <c r="F426" s="458"/>
      <c r="G426" s="458"/>
      <c r="H426" s="458"/>
      <c r="I426" s="458"/>
      <c r="J426" s="458"/>
      <c r="K426" s="458"/>
      <c r="L426" s="458"/>
      <c r="M426" s="458"/>
      <c r="N426" s="458"/>
      <c r="O426" s="458"/>
      <c r="P426" s="458"/>
      <c r="Q426" s="458"/>
      <c r="R426" s="458"/>
      <c r="S426" s="458"/>
      <c r="T426" s="458"/>
      <c r="U426" s="458"/>
      <c r="V426" s="458"/>
      <c r="W426" s="458"/>
    </row>
    <row r="427" spans="1:23" ht="15.75" customHeight="1">
      <c r="A427" s="458"/>
      <c r="B427" s="458"/>
      <c r="C427" s="458"/>
      <c r="D427" s="458"/>
      <c r="E427" s="458"/>
      <c r="F427" s="458"/>
      <c r="G427" s="458"/>
      <c r="H427" s="458"/>
      <c r="I427" s="458"/>
      <c r="J427" s="458"/>
      <c r="K427" s="458"/>
      <c r="L427" s="458"/>
      <c r="M427" s="458"/>
      <c r="N427" s="458"/>
      <c r="O427" s="458"/>
      <c r="P427" s="458"/>
      <c r="Q427" s="458"/>
      <c r="R427" s="458"/>
      <c r="S427" s="458"/>
      <c r="T427" s="458"/>
      <c r="U427" s="458"/>
      <c r="V427" s="458"/>
      <c r="W427" s="458"/>
    </row>
    <row r="428" spans="1:23" ht="15.75" customHeight="1">
      <c r="A428" s="458"/>
      <c r="B428" s="458"/>
      <c r="C428" s="458"/>
      <c r="D428" s="458"/>
      <c r="E428" s="458"/>
      <c r="F428" s="458"/>
      <c r="G428" s="458"/>
      <c r="H428" s="458"/>
      <c r="I428" s="458"/>
      <c r="J428" s="458"/>
      <c r="K428" s="458"/>
      <c r="L428" s="458"/>
      <c r="M428" s="458"/>
      <c r="N428" s="458"/>
      <c r="O428" s="458"/>
      <c r="P428" s="458"/>
      <c r="Q428" s="458"/>
      <c r="R428" s="458"/>
      <c r="S428" s="458"/>
      <c r="T428" s="458"/>
      <c r="U428" s="458"/>
      <c r="V428" s="458"/>
      <c r="W428" s="458"/>
    </row>
    <row r="429" spans="1:23" ht="15.75" customHeight="1">
      <c r="A429" s="458"/>
      <c r="B429" s="458"/>
      <c r="C429" s="458"/>
      <c r="D429" s="458"/>
      <c r="E429" s="458"/>
      <c r="F429" s="458"/>
      <c r="G429" s="458"/>
      <c r="H429" s="458"/>
      <c r="I429" s="458"/>
      <c r="J429" s="458"/>
      <c r="K429" s="458"/>
      <c r="L429" s="458"/>
      <c r="M429" s="458"/>
      <c r="N429" s="458"/>
      <c r="O429" s="458"/>
      <c r="P429" s="458"/>
      <c r="Q429" s="458"/>
      <c r="R429" s="458"/>
      <c r="S429" s="458"/>
      <c r="T429" s="458"/>
      <c r="U429" s="458"/>
      <c r="V429" s="458"/>
      <c r="W429" s="458"/>
    </row>
    <row r="430" spans="1:23" ht="15.75" customHeight="1">
      <c r="A430" s="458"/>
      <c r="B430" s="458"/>
      <c r="C430" s="458"/>
      <c r="D430" s="458"/>
      <c r="E430" s="458"/>
      <c r="F430" s="458"/>
      <c r="G430" s="458"/>
      <c r="H430" s="458"/>
      <c r="I430" s="458"/>
      <c r="J430" s="458"/>
      <c r="K430" s="458"/>
      <c r="L430" s="458"/>
      <c r="M430" s="458"/>
      <c r="N430" s="458"/>
      <c r="O430" s="458"/>
      <c r="P430" s="458"/>
      <c r="Q430" s="458"/>
      <c r="R430" s="458"/>
      <c r="S430" s="458"/>
      <c r="T430" s="458"/>
      <c r="U430" s="458"/>
      <c r="V430" s="458"/>
      <c r="W430" s="458"/>
    </row>
    <row r="431" spans="1:23" ht="15.75" customHeight="1">
      <c r="A431" s="458"/>
      <c r="B431" s="458"/>
      <c r="C431" s="458"/>
      <c r="D431" s="458"/>
      <c r="E431" s="458"/>
      <c r="F431" s="458"/>
      <c r="G431" s="458"/>
      <c r="H431" s="458"/>
      <c r="I431" s="458"/>
      <c r="J431" s="458"/>
      <c r="K431" s="458"/>
      <c r="L431" s="458"/>
      <c r="M431" s="458"/>
      <c r="N431" s="458"/>
      <c r="O431" s="458"/>
      <c r="P431" s="458"/>
      <c r="Q431" s="458"/>
      <c r="R431" s="458"/>
      <c r="S431" s="458"/>
      <c r="T431" s="458"/>
      <c r="U431" s="458"/>
      <c r="V431" s="458"/>
      <c r="W431" s="458"/>
    </row>
    <row r="432" spans="1:23" ht="15.75" customHeight="1">
      <c r="A432" s="458"/>
      <c r="B432" s="458"/>
      <c r="C432" s="458"/>
      <c r="D432" s="458"/>
      <c r="E432" s="458"/>
      <c r="F432" s="458"/>
      <c r="G432" s="458"/>
      <c r="H432" s="458"/>
      <c r="I432" s="458"/>
      <c r="J432" s="458"/>
      <c r="K432" s="458"/>
      <c r="L432" s="458"/>
      <c r="M432" s="458"/>
      <c r="N432" s="458"/>
      <c r="O432" s="458"/>
      <c r="P432" s="458"/>
      <c r="Q432" s="458"/>
      <c r="R432" s="458"/>
      <c r="S432" s="458"/>
      <c r="T432" s="458"/>
      <c r="U432" s="458"/>
      <c r="V432" s="458"/>
      <c r="W432" s="458"/>
    </row>
    <row r="433" spans="1:23" ht="15.75" customHeight="1">
      <c r="A433" s="458"/>
      <c r="B433" s="458"/>
      <c r="C433" s="458"/>
      <c r="D433" s="458"/>
      <c r="E433" s="458"/>
      <c r="F433" s="458"/>
      <c r="G433" s="458"/>
      <c r="H433" s="458"/>
      <c r="I433" s="458"/>
      <c r="J433" s="458"/>
      <c r="K433" s="458"/>
      <c r="L433" s="458"/>
      <c r="M433" s="458"/>
      <c r="N433" s="458"/>
      <c r="O433" s="458"/>
      <c r="P433" s="458"/>
      <c r="Q433" s="458"/>
      <c r="R433" s="458"/>
      <c r="S433" s="458"/>
      <c r="T433" s="458"/>
      <c r="U433" s="458"/>
      <c r="V433" s="458"/>
      <c r="W433" s="458"/>
    </row>
    <row r="434" spans="1:23" ht="15.75" customHeight="1">
      <c r="A434" s="458"/>
      <c r="B434" s="458"/>
      <c r="C434" s="458"/>
      <c r="D434" s="458"/>
      <c r="E434" s="458"/>
      <c r="F434" s="458"/>
      <c r="G434" s="458"/>
      <c r="H434" s="458"/>
      <c r="I434" s="458"/>
      <c r="J434" s="458"/>
      <c r="K434" s="458"/>
      <c r="L434" s="458"/>
      <c r="M434" s="458"/>
      <c r="N434" s="458"/>
      <c r="O434" s="458"/>
      <c r="P434" s="458"/>
      <c r="Q434" s="458"/>
      <c r="R434" s="458"/>
      <c r="S434" s="458"/>
      <c r="T434" s="458"/>
      <c r="U434" s="458"/>
      <c r="V434" s="458"/>
      <c r="W434" s="458"/>
    </row>
    <row r="435" spans="1:23" ht="15.75" customHeight="1">
      <c r="A435" s="458"/>
      <c r="B435" s="458"/>
      <c r="C435" s="458"/>
      <c r="D435" s="458"/>
      <c r="E435" s="458"/>
      <c r="F435" s="458"/>
      <c r="G435" s="458"/>
      <c r="H435" s="458"/>
      <c r="I435" s="458"/>
      <c r="J435" s="458"/>
      <c r="K435" s="458"/>
      <c r="L435" s="458"/>
      <c r="M435" s="458"/>
      <c r="N435" s="458"/>
      <c r="O435" s="458"/>
      <c r="P435" s="458"/>
      <c r="Q435" s="458"/>
      <c r="R435" s="458"/>
      <c r="S435" s="458"/>
      <c r="T435" s="458"/>
      <c r="U435" s="458"/>
      <c r="V435" s="458"/>
      <c r="W435" s="458"/>
    </row>
    <row r="436" spans="1:23" ht="15.75" customHeight="1">
      <c r="A436" s="458"/>
      <c r="B436" s="458"/>
      <c r="C436" s="458"/>
      <c r="D436" s="458"/>
      <c r="E436" s="458"/>
      <c r="F436" s="458"/>
      <c r="G436" s="458"/>
      <c r="H436" s="458"/>
      <c r="I436" s="458"/>
      <c r="J436" s="458"/>
      <c r="K436" s="458"/>
      <c r="L436" s="458"/>
      <c r="M436" s="458"/>
      <c r="N436" s="458"/>
      <c r="O436" s="458"/>
      <c r="P436" s="458"/>
      <c r="Q436" s="458"/>
      <c r="R436" s="458"/>
      <c r="S436" s="458"/>
      <c r="T436" s="458"/>
      <c r="U436" s="458"/>
      <c r="V436" s="458"/>
      <c r="W436" s="458"/>
    </row>
    <row r="437" spans="1:23" ht="15.75" customHeight="1">
      <c r="A437" s="458"/>
      <c r="B437" s="458"/>
      <c r="C437" s="458"/>
      <c r="D437" s="458"/>
      <c r="E437" s="458"/>
      <c r="F437" s="458"/>
      <c r="G437" s="458"/>
      <c r="H437" s="458"/>
      <c r="I437" s="458"/>
      <c r="J437" s="458"/>
      <c r="K437" s="458"/>
      <c r="L437" s="458"/>
      <c r="M437" s="458"/>
      <c r="N437" s="458"/>
      <c r="O437" s="458"/>
      <c r="P437" s="458"/>
      <c r="Q437" s="458"/>
      <c r="R437" s="458"/>
      <c r="S437" s="458"/>
      <c r="T437" s="458"/>
      <c r="U437" s="458"/>
      <c r="V437" s="458"/>
      <c r="W437" s="458"/>
    </row>
    <row r="438" spans="1:23" ht="15.75" customHeight="1">
      <c r="A438" s="458"/>
      <c r="B438" s="458"/>
      <c r="C438" s="458"/>
      <c r="D438" s="458"/>
      <c r="E438" s="458"/>
      <c r="F438" s="458"/>
      <c r="G438" s="458"/>
      <c r="H438" s="458"/>
      <c r="I438" s="458"/>
      <c r="J438" s="458"/>
      <c r="K438" s="458"/>
      <c r="L438" s="458"/>
      <c r="M438" s="458"/>
      <c r="N438" s="458"/>
      <c r="O438" s="458"/>
      <c r="P438" s="458"/>
      <c r="Q438" s="458"/>
      <c r="R438" s="458"/>
      <c r="S438" s="458"/>
      <c r="T438" s="458"/>
      <c r="U438" s="458"/>
      <c r="V438" s="458"/>
      <c r="W438" s="458"/>
    </row>
    <row r="439" spans="1:23" ht="15.75" customHeight="1">
      <c r="A439" s="458"/>
      <c r="B439" s="458"/>
      <c r="C439" s="458"/>
      <c r="D439" s="458"/>
      <c r="E439" s="458"/>
      <c r="F439" s="458"/>
      <c r="G439" s="458"/>
      <c r="H439" s="458"/>
      <c r="I439" s="458"/>
      <c r="J439" s="458"/>
      <c r="K439" s="458"/>
      <c r="L439" s="458"/>
      <c r="M439" s="458"/>
      <c r="N439" s="458"/>
      <c r="O439" s="458"/>
      <c r="P439" s="458"/>
      <c r="Q439" s="458"/>
      <c r="R439" s="458"/>
      <c r="S439" s="458"/>
      <c r="T439" s="458"/>
      <c r="U439" s="458"/>
      <c r="V439" s="458"/>
      <c r="W439" s="458"/>
    </row>
    <row r="440" spans="1:23" ht="15.75" customHeight="1">
      <c r="A440" s="458"/>
      <c r="B440" s="458"/>
      <c r="C440" s="458"/>
      <c r="D440" s="458"/>
      <c r="E440" s="458"/>
      <c r="F440" s="458"/>
      <c r="G440" s="458"/>
      <c r="H440" s="458"/>
      <c r="I440" s="458"/>
      <c r="J440" s="458"/>
      <c r="K440" s="458"/>
      <c r="L440" s="458"/>
      <c r="M440" s="458"/>
      <c r="N440" s="458"/>
      <c r="O440" s="458"/>
      <c r="P440" s="458"/>
      <c r="Q440" s="458"/>
      <c r="R440" s="458"/>
      <c r="S440" s="458"/>
      <c r="T440" s="458"/>
      <c r="U440" s="458"/>
      <c r="V440" s="458"/>
      <c r="W440" s="458"/>
    </row>
    <row r="441" spans="1:23" ht="15.75" customHeight="1">
      <c r="A441" s="458"/>
      <c r="B441" s="458"/>
      <c r="C441" s="458"/>
      <c r="D441" s="458"/>
      <c r="E441" s="458"/>
      <c r="F441" s="458"/>
      <c r="G441" s="458"/>
      <c r="H441" s="458"/>
      <c r="I441" s="458"/>
      <c r="J441" s="458"/>
      <c r="K441" s="458"/>
      <c r="L441" s="458"/>
      <c r="M441" s="458"/>
      <c r="N441" s="458"/>
      <c r="O441" s="458"/>
      <c r="P441" s="458"/>
      <c r="Q441" s="458"/>
      <c r="R441" s="458"/>
      <c r="S441" s="458"/>
      <c r="T441" s="458"/>
      <c r="U441" s="458"/>
      <c r="V441" s="458"/>
      <c r="W441" s="458"/>
    </row>
    <row r="442" spans="1:23" ht="15.75" customHeight="1">
      <c r="A442" s="458"/>
      <c r="B442" s="458"/>
      <c r="C442" s="458"/>
      <c r="D442" s="458"/>
      <c r="E442" s="458"/>
      <c r="F442" s="458"/>
      <c r="G442" s="458"/>
      <c r="H442" s="458"/>
      <c r="I442" s="458"/>
      <c r="J442" s="458"/>
      <c r="K442" s="458"/>
      <c r="L442" s="458"/>
      <c r="M442" s="458"/>
      <c r="N442" s="458"/>
      <c r="O442" s="458"/>
      <c r="P442" s="458"/>
      <c r="Q442" s="458"/>
      <c r="R442" s="458"/>
      <c r="S442" s="458"/>
      <c r="T442" s="458"/>
      <c r="U442" s="458"/>
      <c r="V442" s="458"/>
      <c r="W442" s="458"/>
    </row>
    <row r="443" spans="1:23" ht="15.75" customHeight="1">
      <c r="A443" s="458"/>
      <c r="B443" s="458"/>
      <c r="C443" s="458"/>
      <c r="D443" s="458"/>
      <c r="E443" s="458"/>
      <c r="F443" s="458"/>
      <c r="G443" s="458"/>
      <c r="H443" s="458"/>
      <c r="I443" s="458"/>
      <c r="J443" s="458"/>
      <c r="K443" s="458"/>
      <c r="L443" s="458"/>
      <c r="M443" s="458"/>
      <c r="N443" s="458"/>
      <c r="O443" s="458"/>
      <c r="P443" s="458"/>
      <c r="Q443" s="458"/>
      <c r="R443" s="458"/>
      <c r="S443" s="458"/>
      <c r="T443" s="458"/>
      <c r="U443" s="458"/>
      <c r="V443" s="458"/>
      <c r="W443" s="458"/>
    </row>
    <row r="444" spans="1:23" ht="15.75" customHeight="1">
      <c r="A444" s="458"/>
      <c r="B444" s="458"/>
      <c r="C444" s="458"/>
      <c r="D444" s="458"/>
      <c r="E444" s="458"/>
      <c r="F444" s="458"/>
      <c r="G444" s="458"/>
      <c r="H444" s="458"/>
      <c r="I444" s="458"/>
      <c r="J444" s="458"/>
      <c r="K444" s="458"/>
      <c r="L444" s="458"/>
      <c r="M444" s="458"/>
      <c r="N444" s="458"/>
      <c r="O444" s="458"/>
      <c r="P444" s="458"/>
      <c r="Q444" s="458"/>
      <c r="R444" s="458"/>
      <c r="S444" s="458"/>
      <c r="T444" s="458"/>
      <c r="U444" s="458"/>
      <c r="V444" s="458"/>
      <c r="W444" s="458"/>
    </row>
    <row r="445" spans="1:23" ht="15.75" customHeight="1">
      <c r="A445" s="458"/>
      <c r="B445" s="458"/>
      <c r="C445" s="458"/>
      <c r="D445" s="458"/>
      <c r="E445" s="458"/>
      <c r="F445" s="458"/>
      <c r="G445" s="458"/>
      <c r="H445" s="458"/>
      <c r="I445" s="458"/>
      <c r="J445" s="458"/>
      <c r="K445" s="458"/>
      <c r="L445" s="458"/>
      <c r="M445" s="458"/>
      <c r="N445" s="458"/>
      <c r="O445" s="458"/>
      <c r="P445" s="458"/>
      <c r="Q445" s="458"/>
      <c r="R445" s="458"/>
      <c r="S445" s="458"/>
      <c r="T445" s="458"/>
      <c r="U445" s="458"/>
      <c r="V445" s="458"/>
      <c r="W445" s="458"/>
    </row>
    <row r="446" spans="1:23" ht="15.75" customHeight="1">
      <c r="A446" s="458"/>
      <c r="B446" s="458"/>
      <c r="C446" s="458"/>
      <c r="D446" s="458"/>
      <c r="E446" s="458"/>
      <c r="F446" s="458"/>
      <c r="G446" s="458"/>
      <c r="H446" s="458"/>
      <c r="I446" s="458"/>
      <c r="J446" s="458"/>
      <c r="K446" s="458"/>
      <c r="L446" s="458"/>
      <c r="M446" s="458"/>
      <c r="N446" s="458"/>
      <c r="O446" s="458"/>
      <c r="P446" s="458"/>
      <c r="Q446" s="458"/>
      <c r="R446" s="458"/>
      <c r="S446" s="458"/>
      <c r="T446" s="458"/>
      <c r="U446" s="458"/>
      <c r="V446" s="458"/>
      <c r="W446" s="458"/>
    </row>
    <row r="447" spans="1:23" ht="15.75" customHeight="1">
      <c r="A447" s="458"/>
      <c r="B447" s="458"/>
      <c r="C447" s="458"/>
      <c r="D447" s="458"/>
      <c r="E447" s="458"/>
      <c r="F447" s="458"/>
      <c r="G447" s="458"/>
      <c r="H447" s="458"/>
      <c r="I447" s="458"/>
      <c r="J447" s="458"/>
      <c r="K447" s="458"/>
      <c r="L447" s="458"/>
      <c r="M447" s="458"/>
      <c r="N447" s="458"/>
      <c r="O447" s="458"/>
      <c r="P447" s="458"/>
      <c r="Q447" s="458"/>
      <c r="R447" s="458"/>
      <c r="S447" s="458"/>
      <c r="T447" s="458"/>
      <c r="U447" s="458"/>
      <c r="V447" s="458"/>
      <c r="W447" s="458"/>
    </row>
    <row r="448" spans="1:23" ht="15.75" customHeight="1">
      <c r="A448" s="458"/>
      <c r="B448" s="458"/>
      <c r="C448" s="458"/>
      <c r="D448" s="458"/>
      <c r="E448" s="458"/>
      <c r="F448" s="458"/>
      <c r="G448" s="458"/>
      <c r="H448" s="458"/>
      <c r="I448" s="458"/>
      <c r="J448" s="458"/>
      <c r="K448" s="458"/>
      <c r="L448" s="458"/>
      <c r="M448" s="458"/>
      <c r="N448" s="458"/>
      <c r="O448" s="458"/>
      <c r="P448" s="458"/>
      <c r="Q448" s="458"/>
      <c r="R448" s="458"/>
      <c r="S448" s="458"/>
      <c r="T448" s="458"/>
      <c r="U448" s="458"/>
      <c r="V448" s="458"/>
      <c r="W448" s="458"/>
    </row>
    <row r="449" spans="1:23" ht="15.75" customHeight="1">
      <c r="A449" s="458"/>
      <c r="B449" s="458"/>
      <c r="C449" s="458"/>
      <c r="D449" s="458"/>
      <c r="E449" s="458"/>
      <c r="F449" s="458"/>
      <c r="G449" s="458"/>
      <c r="H449" s="458"/>
      <c r="I449" s="458"/>
      <c r="J449" s="458"/>
      <c r="K449" s="458"/>
      <c r="L449" s="458"/>
      <c r="M449" s="458"/>
      <c r="N449" s="458"/>
      <c r="O449" s="458"/>
      <c r="P449" s="458"/>
      <c r="Q449" s="458"/>
      <c r="R449" s="458"/>
      <c r="S449" s="458"/>
      <c r="T449" s="458"/>
      <c r="U449" s="458"/>
      <c r="V449" s="458"/>
      <c r="W449" s="458"/>
    </row>
    <row r="450" spans="1:23" ht="15.75" customHeight="1">
      <c r="A450" s="458"/>
      <c r="B450" s="458"/>
      <c r="C450" s="458"/>
      <c r="D450" s="458"/>
      <c r="E450" s="458"/>
      <c r="F450" s="458"/>
      <c r="G450" s="458"/>
      <c r="H450" s="458"/>
      <c r="I450" s="458"/>
      <c r="J450" s="458"/>
      <c r="K450" s="458"/>
      <c r="L450" s="458"/>
      <c r="M450" s="458"/>
      <c r="N450" s="458"/>
      <c r="O450" s="458"/>
      <c r="P450" s="458"/>
      <c r="Q450" s="458"/>
      <c r="R450" s="458"/>
      <c r="S450" s="458"/>
      <c r="T450" s="458"/>
      <c r="U450" s="458"/>
      <c r="V450" s="458"/>
      <c r="W450" s="458"/>
    </row>
    <row r="451" spans="1:23" ht="15.75" customHeight="1">
      <c r="A451" s="458"/>
      <c r="B451" s="458"/>
      <c r="C451" s="458"/>
      <c r="D451" s="458"/>
      <c r="E451" s="458"/>
      <c r="F451" s="458"/>
      <c r="G451" s="458"/>
      <c r="H451" s="458"/>
      <c r="I451" s="458"/>
      <c r="J451" s="458"/>
      <c r="K451" s="458"/>
      <c r="L451" s="458"/>
      <c r="M451" s="458"/>
      <c r="N451" s="458"/>
      <c r="O451" s="458"/>
      <c r="P451" s="458"/>
      <c r="Q451" s="458"/>
      <c r="R451" s="458"/>
      <c r="S451" s="458"/>
      <c r="T451" s="458"/>
      <c r="U451" s="458"/>
      <c r="V451" s="458"/>
      <c r="W451" s="458"/>
    </row>
    <row r="452" spans="1:23" ht="15.75" customHeight="1">
      <c r="A452" s="458"/>
      <c r="B452" s="458"/>
      <c r="C452" s="458"/>
      <c r="D452" s="458"/>
      <c r="E452" s="458"/>
      <c r="F452" s="458"/>
      <c r="G452" s="458"/>
      <c r="H452" s="458"/>
      <c r="I452" s="458"/>
      <c r="J452" s="458"/>
      <c r="K452" s="458"/>
      <c r="L452" s="458"/>
      <c r="M452" s="458"/>
      <c r="N452" s="458"/>
      <c r="O452" s="458"/>
      <c r="P452" s="458"/>
      <c r="Q452" s="458"/>
      <c r="R452" s="458"/>
      <c r="S452" s="458"/>
      <c r="T452" s="458"/>
      <c r="U452" s="458"/>
      <c r="V452" s="458"/>
      <c r="W452" s="458"/>
    </row>
    <row r="453" spans="1:23" ht="15.75" customHeight="1">
      <c r="A453" s="458"/>
      <c r="B453" s="458"/>
      <c r="C453" s="458"/>
      <c r="D453" s="458"/>
      <c r="E453" s="458"/>
      <c r="F453" s="458"/>
      <c r="G453" s="458"/>
      <c r="H453" s="458"/>
      <c r="I453" s="458"/>
      <c r="J453" s="458"/>
      <c r="K453" s="458"/>
      <c r="L453" s="458"/>
      <c r="M453" s="458"/>
      <c r="N453" s="458"/>
      <c r="O453" s="458"/>
      <c r="P453" s="458"/>
      <c r="Q453" s="458"/>
      <c r="R453" s="458"/>
      <c r="S453" s="458"/>
      <c r="T453" s="458"/>
      <c r="U453" s="458"/>
      <c r="V453" s="458"/>
      <c r="W453" s="458"/>
    </row>
    <row r="454" spans="1:23" ht="15.75" customHeight="1">
      <c r="A454" s="458"/>
      <c r="B454" s="458"/>
      <c r="C454" s="458"/>
      <c r="D454" s="458"/>
      <c r="E454" s="458"/>
      <c r="F454" s="458"/>
      <c r="G454" s="458"/>
      <c r="H454" s="458"/>
      <c r="I454" s="458"/>
      <c r="J454" s="458"/>
      <c r="K454" s="458"/>
      <c r="L454" s="458"/>
      <c r="M454" s="458"/>
      <c r="N454" s="458"/>
      <c r="O454" s="458"/>
      <c r="P454" s="458"/>
      <c r="Q454" s="458"/>
      <c r="R454" s="458"/>
      <c r="S454" s="458"/>
      <c r="T454" s="458"/>
      <c r="U454" s="458"/>
      <c r="V454" s="458"/>
      <c r="W454" s="458"/>
    </row>
    <row r="455" spans="1:23" ht="15.75" customHeight="1">
      <c r="A455" s="458"/>
      <c r="B455" s="458"/>
      <c r="C455" s="458"/>
      <c r="D455" s="458"/>
      <c r="E455" s="458"/>
      <c r="F455" s="458"/>
      <c r="G455" s="458"/>
      <c r="H455" s="458"/>
      <c r="I455" s="458"/>
      <c r="J455" s="458"/>
      <c r="K455" s="458"/>
      <c r="L455" s="458"/>
      <c r="M455" s="458"/>
      <c r="N455" s="458"/>
      <c r="O455" s="458"/>
      <c r="P455" s="458"/>
      <c r="Q455" s="458"/>
      <c r="R455" s="458"/>
      <c r="S455" s="458"/>
      <c r="T455" s="458"/>
      <c r="U455" s="458"/>
      <c r="V455" s="458"/>
      <c r="W455" s="458"/>
    </row>
    <row r="456" spans="1:23" ht="15.75" customHeight="1">
      <c r="A456" s="458"/>
      <c r="B456" s="458"/>
      <c r="C456" s="458"/>
      <c r="D456" s="458"/>
      <c r="E456" s="458"/>
      <c r="F456" s="458"/>
      <c r="G456" s="458"/>
      <c r="H456" s="458"/>
      <c r="I456" s="458"/>
      <c r="J456" s="458"/>
      <c r="K456" s="458"/>
      <c r="L456" s="458"/>
      <c r="M456" s="458"/>
      <c r="N456" s="458"/>
      <c r="O456" s="458"/>
      <c r="P456" s="458"/>
      <c r="Q456" s="458"/>
      <c r="R456" s="458"/>
      <c r="S456" s="458"/>
      <c r="T456" s="458"/>
      <c r="U456" s="458"/>
      <c r="V456" s="458"/>
      <c r="W456" s="458"/>
    </row>
    <row r="457" spans="1:23" ht="15.75" customHeight="1">
      <c r="A457" s="458"/>
      <c r="B457" s="458"/>
      <c r="C457" s="458"/>
      <c r="D457" s="458"/>
      <c r="E457" s="458"/>
      <c r="F457" s="458"/>
      <c r="G457" s="458"/>
      <c r="H457" s="458"/>
      <c r="I457" s="458"/>
      <c r="J457" s="458"/>
      <c r="K457" s="458"/>
      <c r="L457" s="458"/>
      <c r="M457" s="458"/>
      <c r="N457" s="458"/>
      <c r="O457" s="458"/>
      <c r="P457" s="458"/>
      <c r="Q457" s="458"/>
      <c r="R457" s="458"/>
      <c r="S457" s="458"/>
      <c r="T457" s="458"/>
      <c r="U457" s="458"/>
      <c r="V457" s="458"/>
      <c r="W457" s="458"/>
    </row>
    <row r="458" spans="1:23" ht="15.75" customHeight="1">
      <c r="A458" s="458"/>
      <c r="B458" s="458"/>
      <c r="C458" s="458"/>
      <c r="D458" s="458"/>
      <c r="E458" s="458"/>
      <c r="F458" s="458"/>
      <c r="G458" s="458"/>
      <c r="H458" s="458"/>
      <c r="I458" s="458"/>
      <c r="J458" s="458"/>
      <c r="K458" s="458"/>
      <c r="L458" s="458"/>
      <c r="M458" s="458"/>
      <c r="N458" s="458"/>
      <c r="O458" s="458"/>
      <c r="P458" s="458"/>
      <c r="Q458" s="458"/>
      <c r="R458" s="458"/>
      <c r="S458" s="458"/>
      <c r="T458" s="458"/>
      <c r="U458" s="458"/>
      <c r="V458" s="458"/>
      <c r="W458" s="458"/>
    </row>
    <row r="459" spans="1:23" ht="15.75" customHeight="1">
      <c r="A459" s="458"/>
      <c r="B459" s="458"/>
      <c r="C459" s="458"/>
      <c r="D459" s="458"/>
      <c r="E459" s="458"/>
      <c r="F459" s="458"/>
      <c r="G459" s="458"/>
      <c r="H459" s="458"/>
      <c r="I459" s="458"/>
      <c r="J459" s="458"/>
      <c r="K459" s="458"/>
      <c r="L459" s="458"/>
      <c r="M459" s="458"/>
      <c r="N459" s="458"/>
      <c r="O459" s="458"/>
      <c r="P459" s="458"/>
      <c r="Q459" s="458"/>
      <c r="R459" s="458"/>
      <c r="S459" s="458"/>
      <c r="T459" s="458"/>
      <c r="U459" s="458"/>
      <c r="V459" s="458"/>
      <c r="W459" s="458"/>
    </row>
    <row r="460" spans="1:23" ht="15.75" customHeight="1">
      <c r="A460" s="458"/>
      <c r="B460" s="458"/>
      <c r="C460" s="458"/>
      <c r="D460" s="458"/>
      <c r="E460" s="458"/>
      <c r="F460" s="458"/>
      <c r="G460" s="458"/>
      <c r="H460" s="458"/>
      <c r="I460" s="458"/>
      <c r="J460" s="458"/>
      <c r="K460" s="458"/>
      <c r="L460" s="458"/>
      <c r="M460" s="458"/>
      <c r="N460" s="458"/>
      <c r="O460" s="458"/>
      <c r="P460" s="458"/>
      <c r="Q460" s="458"/>
      <c r="R460" s="458"/>
      <c r="S460" s="458"/>
      <c r="T460" s="458"/>
      <c r="U460" s="458"/>
      <c r="V460" s="458"/>
      <c r="W460" s="458"/>
    </row>
    <row r="461" spans="1:23" ht="15.75" customHeight="1">
      <c r="A461" s="458"/>
      <c r="B461" s="458"/>
      <c r="C461" s="458"/>
      <c r="D461" s="458"/>
      <c r="E461" s="458"/>
      <c r="F461" s="458"/>
      <c r="G461" s="458"/>
      <c r="H461" s="458"/>
      <c r="I461" s="458"/>
      <c r="J461" s="458"/>
      <c r="K461" s="458"/>
      <c r="L461" s="458"/>
      <c r="M461" s="458"/>
      <c r="N461" s="458"/>
      <c r="O461" s="458"/>
      <c r="P461" s="458"/>
      <c r="Q461" s="458"/>
      <c r="R461" s="458"/>
      <c r="S461" s="458"/>
      <c r="T461" s="458"/>
      <c r="U461" s="458"/>
      <c r="V461" s="458"/>
      <c r="W461" s="458"/>
    </row>
    <row r="462" spans="1:23" ht="15.75" customHeight="1">
      <c r="A462" s="458"/>
      <c r="B462" s="458"/>
      <c r="C462" s="458"/>
      <c r="D462" s="458"/>
      <c r="E462" s="458"/>
      <c r="F462" s="458"/>
      <c r="G462" s="458"/>
      <c r="H462" s="458"/>
      <c r="I462" s="458"/>
      <c r="J462" s="458"/>
      <c r="K462" s="458"/>
      <c r="L462" s="458"/>
      <c r="M462" s="458"/>
      <c r="N462" s="458"/>
      <c r="O462" s="458"/>
      <c r="P462" s="458"/>
      <c r="Q462" s="458"/>
      <c r="R462" s="458"/>
      <c r="S462" s="458"/>
      <c r="T462" s="458"/>
      <c r="U462" s="458"/>
      <c r="V462" s="458"/>
      <c r="W462" s="458"/>
    </row>
    <row r="463" spans="1:23" ht="15.75" customHeight="1">
      <c r="A463" s="458"/>
      <c r="B463" s="458"/>
      <c r="C463" s="458"/>
      <c r="D463" s="458"/>
      <c r="E463" s="458"/>
      <c r="F463" s="458"/>
      <c r="G463" s="458"/>
      <c r="H463" s="458"/>
      <c r="I463" s="458"/>
      <c r="J463" s="458"/>
      <c r="K463" s="458"/>
      <c r="L463" s="458"/>
      <c r="M463" s="458"/>
      <c r="N463" s="458"/>
      <c r="O463" s="458"/>
      <c r="P463" s="458"/>
      <c r="Q463" s="458"/>
      <c r="R463" s="458"/>
      <c r="S463" s="458"/>
      <c r="T463" s="458"/>
      <c r="U463" s="458"/>
      <c r="V463" s="458"/>
      <c r="W463" s="458"/>
    </row>
    <row r="464" spans="1:23" ht="15.75" customHeight="1">
      <c r="A464" s="458"/>
      <c r="B464" s="458"/>
      <c r="C464" s="458"/>
      <c r="D464" s="458"/>
      <c r="E464" s="458"/>
      <c r="F464" s="458"/>
      <c r="G464" s="458"/>
      <c r="H464" s="458"/>
      <c r="I464" s="458"/>
      <c r="J464" s="458"/>
      <c r="K464" s="458"/>
      <c r="L464" s="458"/>
      <c r="M464" s="458"/>
      <c r="N464" s="458"/>
      <c r="O464" s="458"/>
      <c r="P464" s="458"/>
      <c r="Q464" s="458"/>
      <c r="R464" s="458"/>
      <c r="S464" s="458"/>
      <c r="T464" s="458"/>
      <c r="U464" s="458"/>
      <c r="V464" s="458"/>
      <c r="W464" s="458"/>
    </row>
    <row r="465" spans="1:23" ht="15.75" customHeight="1">
      <c r="A465" s="458"/>
      <c r="B465" s="458"/>
      <c r="C465" s="458"/>
      <c r="D465" s="458"/>
      <c r="E465" s="458"/>
      <c r="F465" s="458"/>
      <c r="G465" s="458"/>
      <c r="H465" s="458"/>
      <c r="I465" s="458"/>
      <c r="J465" s="458"/>
      <c r="K465" s="458"/>
      <c r="L465" s="458"/>
      <c r="M465" s="458"/>
      <c r="N465" s="458"/>
      <c r="O465" s="458"/>
      <c r="P465" s="458"/>
      <c r="Q465" s="458"/>
      <c r="R465" s="458"/>
      <c r="S465" s="458"/>
      <c r="T465" s="458"/>
      <c r="U465" s="458"/>
      <c r="V465" s="458"/>
      <c r="W465" s="458"/>
    </row>
    <row r="466" spans="1:23" ht="15.75" customHeight="1">
      <c r="A466" s="458"/>
      <c r="B466" s="458"/>
      <c r="C466" s="458"/>
      <c r="D466" s="458"/>
      <c r="E466" s="458"/>
      <c r="F466" s="458"/>
      <c r="G466" s="458"/>
      <c r="H466" s="458"/>
      <c r="I466" s="458"/>
      <c r="J466" s="458"/>
      <c r="K466" s="458"/>
      <c r="L466" s="458"/>
      <c r="M466" s="458"/>
      <c r="N466" s="458"/>
      <c r="O466" s="458"/>
      <c r="P466" s="458"/>
      <c r="Q466" s="458"/>
      <c r="R466" s="458"/>
      <c r="S466" s="458"/>
      <c r="T466" s="458"/>
      <c r="U466" s="458"/>
      <c r="V466" s="458"/>
      <c r="W466" s="458"/>
    </row>
    <row r="467" spans="1:23" ht="15.75" customHeight="1">
      <c r="A467" s="458"/>
      <c r="B467" s="458"/>
      <c r="C467" s="458"/>
      <c r="D467" s="458"/>
      <c r="E467" s="458"/>
      <c r="F467" s="458"/>
      <c r="G467" s="458"/>
      <c r="H467" s="458"/>
      <c r="I467" s="458"/>
      <c r="J467" s="458"/>
      <c r="K467" s="458"/>
      <c r="L467" s="458"/>
      <c r="M467" s="458"/>
      <c r="N467" s="458"/>
      <c r="O467" s="458"/>
      <c r="P467" s="458"/>
      <c r="Q467" s="458"/>
      <c r="R467" s="458"/>
      <c r="S467" s="458"/>
      <c r="T467" s="458"/>
      <c r="U467" s="458"/>
      <c r="V467" s="458"/>
      <c r="W467" s="458"/>
    </row>
    <row r="468" spans="1:23" ht="15.75" customHeight="1">
      <c r="A468" s="458"/>
      <c r="B468" s="458"/>
      <c r="C468" s="458"/>
      <c r="D468" s="458"/>
      <c r="E468" s="458"/>
      <c r="F468" s="458"/>
      <c r="G468" s="458"/>
      <c r="H468" s="458"/>
      <c r="I468" s="458"/>
      <c r="J468" s="458"/>
      <c r="K468" s="458"/>
      <c r="L468" s="458"/>
      <c r="M468" s="458"/>
      <c r="N468" s="458"/>
      <c r="O468" s="458"/>
      <c r="P468" s="458"/>
      <c r="Q468" s="458"/>
      <c r="R468" s="458"/>
      <c r="S468" s="458"/>
      <c r="T468" s="458"/>
      <c r="U468" s="458"/>
      <c r="V468" s="458"/>
      <c r="W468" s="458"/>
    </row>
    <row r="469" spans="1:23" ht="15.75" customHeight="1">
      <c r="A469" s="458"/>
      <c r="B469" s="458"/>
      <c r="C469" s="458"/>
      <c r="D469" s="458"/>
      <c r="E469" s="458"/>
      <c r="F469" s="458"/>
      <c r="G469" s="458"/>
      <c r="H469" s="458"/>
      <c r="I469" s="458"/>
      <c r="J469" s="458"/>
      <c r="K469" s="458"/>
      <c r="L469" s="458"/>
      <c r="M469" s="458"/>
      <c r="N469" s="458"/>
      <c r="O469" s="458"/>
      <c r="P469" s="458"/>
      <c r="Q469" s="458"/>
      <c r="R469" s="458"/>
      <c r="S469" s="458"/>
      <c r="T469" s="458"/>
      <c r="U469" s="458"/>
      <c r="V469" s="458"/>
      <c r="W469" s="458"/>
    </row>
    <row r="470" spans="1:23" ht="15.75" customHeight="1">
      <c r="A470" s="458"/>
      <c r="B470" s="458"/>
      <c r="C470" s="458"/>
      <c r="D470" s="458"/>
      <c r="E470" s="458"/>
      <c r="F470" s="458"/>
      <c r="G470" s="458"/>
      <c r="H470" s="458"/>
      <c r="I470" s="458"/>
      <c r="J470" s="458"/>
      <c r="K470" s="458"/>
      <c r="L470" s="458"/>
      <c r="M470" s="458"/>
      <c r="N470" s="458"/>
      <c r="O470" s="458"/>
      <c r="P470" s="458"/>
      <c r="Q470" s="458"/>
      <c r="R470" s="458"/>
      <c r="S470" s="458"/>
      <c r="T470" s="458"/>
      <c r="U470" s="458"/>
      <c r="V470" s="458"/>
      <c r="W470" s="458"/>
    </row>
    <row r="471" spans="1:23" ht="15.75" customHeight="1">
      <c r="A471" s="458"/>
      <c r="B471" s="458"/>
      <c r="C471" s="458"/>
      <c r="D471" s="458"/>
      <c r="E471" s="458"/>
      <c r="F471" s="458"/>
      <c r="G471" s="458"/>
      <c r="H471" s="458"/>
      <c r="I471" s="458"/>
      <c r="J471" s="458"/>
      <c r="K471" s="458"/>
      <c r="L471" s="458"/>
      <c r="M471" s="458"/>
      <c r="N471" s="458"/>
      <c r="O471" s="458"/>
      <c r="P471" s="458"/>
      <c r="Q471" s="458"/>
      <c r="R471" s="458"/>
      <c r="S471" s="458"/>
      <c r="T471" s="458"/>
      <c r="U471" s="458"/>
      <c r="V471" s="458"/>
      <c r="W471" s="458"/>
    </row>
    <row r="472" spans="1:23" ht="15.75" customHeight="1">
      <c r="A472" s="458"/>
      <c r="B472" s="458"/>
      <c r="C472" s="458"/>
      <c r="D472" s="458"/>
      <c r="E472" s="458"/>
      <c r="F472" s="458"/>
      <c r="G472" s="458"/>
      <c r="H472" s="458"/>
      <c r="I472" s="458"/>
      <c r="J472" s="458"/>
      <c r="K472" s="458"/>
      <c r="L472" s="458"/>
      <c r="M472" s="458"/>
      <c r="N472" s="458"/>
      <c r="O472" s="458"/>
      <c r="P472" s="458"/>
      <c r="Q472" s="458"/>
      <c r="R472" s="458"/>
      <c r="S472" s="458"/>
      <c r="T472" s="458"/>
      <c r="U472" s="458"/>
      <c r="V472" s="458"/>
      <c r="W472" s="458"/>
    </row>
    <row r="473" spans="1:23" ht="15.75" customHeight="1">
      <c r="A473" s="458"/>
      <c r="B473" s="458"/>
      <c r="C473" s="458"/>
      <c r="D473" s="458"/>
      <c r="E473" s="458"/>
      <c r="F473" s="458"/>
      <c r="G473" s="458"/>
      <c r="H473" s="458"/>
      <c r="I473" s="458"/>
      <c r="J473" s="458"/>
      <c r="K473" s="458"/>
      <c r="L473" s="458"/>
      <c r="M473" s="458"/>
      <c r="N473" s="458"/>
      <c r="O473" s="458"/>
      <c r="P473" s="458"/>
      <c r="Q473" s="458"/>
      <c r="R473" s="458"/>
      <c r="S473" s="458"/>
      <c r="T473" s="458"/>
      <c r="U473" s="458"/>
      <c r="V473" s="458"/>
      <c r="W473" s="458"/>
    </row>
    <row r="474" spans="1:23" ht="15.75" customHeight="1">
      <c r="A474" s="458"/>
      <c r="B474" s="458"/>
      <c r="C474" s="458"/>
      <c r="D474" s="458"/>
      <c r="E474" s="458"/>
      <c r="F474" s="458"/>
      <c r="G474" s="458"/>
      <c r="H474" s="458"/>
      <c r="I474" s="458"/>
      <c r="J474" s="458"/>
      <c r="K474" s="458"/>
      <c r="L474" s="458"/>
      <c r="M474" s="458"/>
      <c r="N474" s="458"/>
      <c r="O474" s="458"/>
      <c r="P474" s="458"/>
      <c r="Q474" s="458"/>
      <c r="R474" s="458"/>
      <c r="S474" s="458"/>
      <c r="T474" s="458"/>
      <c r="U474" s="458"/>
      <c r="V474" s="458"/>
      <c r="W474" s="458"/>
    </row>
    <row r="475" spans="1:23" ht="15.75" customHeight="1">
      <c r="A475" s="458"/>
      <c r="B475" s="458"/>
      <c r="C475" s="458"/>
      <c r="D475" s="458"/>
      <c r="E475" s="458"/>
      <c r="F475" s="458"/>
      <c r="G475" s="458"/>
      <c r="H475" s="458"/>
      <c r="I475" s="458"/>
      <c r="J475" s="458"/>
      <c r="K475" s="458"/>
      <c r="L475" s="458"/>
      <c r="M475" s="458"/>
      <c r="N475" s="458"/>
      <c r="O475" s="458"/>
      <c r="P475" s="458"/>
      <c r="Q475" s="458"/>
      <c r="R475" s="458"/>
      <c r="S475" s="458"/>
      <c r="T475" s="458"/>
      <c r="U475" s="458"/>
      <c r="V475" s="458"/>
      <c r="W475" s="458"/>
    </row>
    <row r="476" spans="1:23" ht="15.75" customHeight="1">
      <c r="A476" s="458"/>
      <c r="B476" s="458"/>
      <c r="C476" s="458"/>
      <c r="D476" s="458"/>
      <c r="E476" s="458"/>
      <c r="F476" s="458"/>
      <c r="G476" s="458"/>
      <c r="H476" s="458"/>
      <c r="I476" s="458"/>
      <c r="J476" s="458"/>
      <c r="K476" s="458"/>
      <c r="L476" s="458"/>
      <c r="M476" s="458"/>
      <c r="N476" s="458"/>
      <c r="O476" s="458"/>
      <c r="P476" s="458"/>
      <c r="Q476" s="458"/>
      <c r="R476" s="458"/>
      <c r="S476" s="458"/>
      <c r="T476" s="458"/>
      <c r="U476" s="458"/>
      <c r="V476" s="458"/>
      <c r="W476" s="458"/>
    </row>
    <row r="477" spans="1:23" ht="15.75" customHeight="1">
      <c r="A477" s="458"/>
      <c r="B477" s="458"/>
      <c r="C477" s="458"/>
      <c r="D477" s="458"/>
      <c r="E477" s="458"/>
      <c r="F477" s="458"/>
      <c r="G477" s="458"/>
      <c r="H477" s="458"/>
      <c r="I477" s="458"/>
      <c r="J477" s="458"/>
      <c r="K477" s="458"/>
      <c r="L477" s="458"/>
      <c r="M477" s="458"/>
      <c r="N477" s="458"/>
      <c r="O477" s="458"/>
      <c r="P477" s="458"/>
      <c r="Q477" s="458"/>
      <c r="R477" s="458"/>
      <c r="S477" s="458"/>
      <c r="T477" s="458"/>
      <c r="U477" s="458"/>
      <c r="V477" s="458"/>
      <c r="W477" s="458"/>
    </row>
    <row r="478" spans="1:23" ht="15.75" customHeight="1">
      <c r="A478" s="458"/>
      <c r="B478" s="458"/>
      <c r="C478" s="458"/>
      <c r="D478" s="458"/>
      <c r="E478" s="458"/>
      <c r="F478" s="458"/>
      <c r="G478" s="458"/>
      <c r="H478" s="458"/>
      <c r="I478" s="458"/>
      <c r="J478" s="458"/>
      <c r="K478" s="458"/>
      <c r="L478" s="458"/>
      <c r="M478" s="458"/>
      <c r="N478" s="458"/>
      <c r="O478" s="458"/>
      <c r="P478" s="458"/>
      <c r="Q478" s="458"/>
      <c r="R478" s="458"/>
      <c r="S478" s="458"/>
      <c r="T478" s="458"/>
      <c r="U478" s="458"/>
      <c r="V478" s="458"/>
      <c r="W478" s="458"/>
    </row>
    <row r="479" spans="1:23" ht="15.75" customHeight="1">
      <c r="A479" s="458"/>
      <c r="B479" s="458"/>
      <c r="C479" s="458"/>
      <c r="D479" s="458"/>
      <c r="E479" s="458"/>
      <c r="F479" s="458"/>
      <c r="G479" s="458"/>
      <c r="H479" s="458"/>
      <c r="I479" s="458"/>
      <c r="J479" s="458"/>
      <c r="K479" s="458"/>
      <c r="L479" s="458"/>
      <c r="M479" s="458"/>
      <c r="N479" s="458"/>
      <c r="O479" s="458"/>
      <c r="P479" s="458"/>
      <c r="Q479" s="458"/>
      <c r="R479" s="458"/>
      <c r="S479" s="458"/>
      <c r="T479" s="458"/>
      <c r="U479" s="458"/>
      <c r="V479" s="458"/>
      <c r="W479" s="458"/>
    </row>
    <row r="480" spans="1:23" ht="15.75" customHeight="1">
      <c r="A480" s="458"/>
      <c r="B480" s="458"/>
      <c r="C480" s="458"/>
      <c r="D480" s="458"/>
      <c r="E480" s="458"/>
      <c r="F480" s="458"/>
      <c r="G480" s="458"/>
      <c r="H480" s="458"/>
      <c r="I480" s="458"/>
      <c r="J480" s="458"/>
      <c r="K480" s="458"/>
      <c r="L480" s="458"/>
      <c r="M480" s="458"/>
      <c r="N480" s="458"/>
      <c r="O480" s="458"/>
      <c r="P480" s="458"/>
      <c r="Q480" s="458"/>
      <c r="R480" s="458"/>
      <c r="S480" s="458"/>
      <c r="T480" s="458"/>
      <c r="U480" s="458"/>
      <c r="V480" s="458"/>
      <c r="W480" s="458"/>
    </row>
    <row r="481" spans="1:23" ht="15.75" customHeight="1">
      <c r="A481" s="458"/>
      <c r="B481" s="458"/>
      <c r="C481" s="458"/>
      <c r="D481" s="458"/>
      <c r="E481" s="458"/>
      <c r="F481" s="458"/>
      <c r="G481" s="458"/>
      <c r="H481" s="458"/>
      <c r="I481" s="458"/>
      <c r="J481" s="458"/>
      <c r="K481" s="458"/>
      <c r="L481" s="458"/>
      <c r="M481" s="458"/>
      <c r="N481" s="458"/>
      <c r="O481" s="458"/>
      <c r="P481" s="458"/>
      <c r="Q481" s="458"/>
      <c r="R481" s="458"/>
      <c r="S481" s="458"/>
      <c r="T481" s="458"/>
      <c r="U481" s="458"/>
      <c r="V481" s="458"/>
      <c r="W481" s="458"/>
    </row>
    <row r="482" spans="1:23" ht="15.75" customHeight="1">
      <c r="A482" s="458"/>
      <c r="B482" s="458"/>
      <c r="C482" s="458"/>
      <c r="D482" s="458"/>
      <c r="E482" s="458"/>
      <c r="F482" s="458"/>
      <c r="G482" s="458"/>
      <c r="H482" s="458"/>
      <c r="I482" s="458"/>
      <c r="J482" s="458"/>
      <c r="K482" s="458"/>
      <c r="L482" s="458"/>
      <c r="M482" s="458"/>
      <c r="N482" s="458"/>
      <c r="O482" s="458"/>
      <c r="P482" s="458"/>
      <c r="Q482" s="458"/>
      <c r="R482" s="458"/>
      <c r="S482" s="458"/>
      <c r="T482" s="458"/>
      <c r="U482" s="458"/>
      <c r="V482" s="458"/>
      <c r="W482" s="458"/>
    </row>
    <row r="483" spans="1:23" ht="15.75" customHeight="1">
      <c r="A483" s="458"/>
      <c r="B483" s="458"/>
      <c r="C483" s="458"/>
      <c r="D483" s="458"/>
      <c r="E483" s="458"/>
      <c r="F483" s="458"/>
      <c r="G483" s="458"/>
      <c r="H483" s="458"/>
      <c r="I483" s="458"/>
      <c r="J483" s="458"/>
      <c r="K483" s="458"/>
      <c r="L483" s="458"/>
      <c r="M483" s="458"/>
      <c r="N483" s="458"/>
      <c r="O483" s="458"/>
      <c r="P483" s="458"/>
      <c r="Q483" s="458"/>
      <c r="R483" s="458"/>
      <c r="S483" s="458"/>
      <c r="T483" s="458"/>
      <c r="U483" s="458"/>
      <c r="V483" s="458"/>
      <c r="W483" s="458"/>
    </row>
    <row r="484" spans="1:23" ht="15.75" customHeight="1">
      <c r="A484" s="458"/>
      <c r="B484" s="458"/>
      <c r="C484" s="458"/>
      <c r="D484" s="458"/>
      <c r="E484" s="458"/>
      <c r="F484" s="458"/>
      <c r="G484" s="458"/>
      <c r="H484" s="458"/>
      <c r="I484" s="458"/>
      <c r="J484" s="458"/>
      <c r="K484" s="458"/>
      <c r="L484" s="458"/>
      <c r="M484" s="458"/>
      <c r="N484" s="458"/>
      <c r="O484" s="458"/>
      <c r="P484" s="458"/>
      <c r="Q484" s="458"/>
      <c r="R484" s="458"/>
      <c r="S484" s="458"/>
      <c r="T484" s="458"/>
      <c r="U484" s="458"/>
      <c r="V484" s="458"/>
      <c r="W484" s="458"/>
    </row>
    <row r="485" spans="1:23" ht="15.75" customHeight="1">
      <c r="A485" s="458"/>
      <c r="B485" s="458"/>
      <c r="C485" s="458"/>
      <c r="D485" s="458"/>
      <c r="E485" s="458"/>
      <c r="F485" s="458"/>
      <c r="G485" s="458"/>
      <c r="H485" s="458"/>
      <c r="I485" s="458"/>
      <c r="J485" s="458"/>
      <c r="K485" s="458"/>
      <c r="L485" s="458"/>
      <c r="M485" s="458"/>
      <c r="N485" s="458"/>
      <c r="O485" s="458"/>
      <c r="P485" s="458"/>
      <c r="Q485" s="458"/>
      <c r="R485" s="458"/>
      <c r="S485" s="458"/>
      <c r="T485" s="458"/>
      <c r="U485" s="458"/>
      <c r="V485" s="458"/>
      <c r="W485" s="458"/>
    </row>
    <row r="486" spans="1:23" ht="15.75" customHeight="1">
      <c r="A486" s="458"/>
      <c r="B486" s="458"/>
      <c r="C486" s="458"/>
      <c r="D486" s="458"/>
      <c r="E486" s="458"/>
      <c r="F486" s="458"/>
      <c r="G486" s="458"/>
      <c r="H486" s="458"/>
      <c r="I486" s="458"/>
      <c r="J486" s="458"/>
      <c r="K486" s="458"/>
      <c r="L486" s="458"/>
      <c r="M486" s="458"/>
      <c r="N486" s="458"/>
      <c r="O486" s="458"/>
      <c r="P486" s="458"/>
      <c r="Q486" s="458"/>
      <c r="R486" s="458"/>
      <c r="S486" s="458"/>
      <c r="T486" s="458"/>
      <c r="U486" s="458"/>
      <c r="V486" s="458"/>
      <c r="W486" s="458"/>
    </row>
    <row r="487" spans="1:23" ht="15.75" customHeight="1">
      <c r="A487" s="458"/>
      <c r="B487" s="458"/>
      <c r="C487" s="458"/>
      <c r="D487" s="458"/>
      <c r="E487" s="458"/>
      <c r="F487" s="458"/>
      <c r="G487" s="458"/>
      <c r="H487" s="458"/>
      <c r="I487" s="458"/>
      <c r="J487" s="458"/>
      <c r="K487" s="458"/>
      <c r="L487" s="458"/>
      <c r="M487" s="458"/>
      <c r="N487" s="458"/>
      <c r="O487" s="458"/>
      <c r="P487" s="458"/>
      <c r="Q487" s="458"/>
      <c r="R487" s="458"/>
      <c r="S487" s="458"/>
      <c r="T487" s="458"/>
      <c r="U487" s="458"/>
      <c r="V487" s="458"/>
      <c r="W487" s="458"/>
    </row>
    <row r="488" spans="1:23" ht="15.75" customHeight="1">
      <c r="A488" s="458"/>
      <c r="B488" s="458"/>
      <c r="C488" s="458"/>
      <c r="D488" s="458"/>
      <c r="E488" s="458"/>
      <c r="F488" s="458"/>
      <c r="G488" s="458"/>
      <c r="H488" s="458"/>
      <c r="I488" s="458"/>
      <c r="J488" s="458"/>
      <c r="K488" s="458"/>
      <c r="L488" s="458"/>
      <c r="M488" s="458"/>
      <c r="N488" s="458"/>
      <c r="O488" s="458"/>
      <c r="P488" s="458"/>
      <c r="Q488" s="458"/>
      <c r="R488" s="458"/>
      <c r="S488" s="458"/>
      <c r="T488" s="458"/>
      <c r="U488" s="458"/>
      <c r="V488" s="458"/>
      <c r="W488" s="458"/>
    </row>
    <row r="489" spans="1:23" ht="15.75" customHeight="1">
      <c r="A489" s="458"/>
      <c r="B489" s="458"/>
      <c r="C489" s="458"/>
      <c r="D489" s="458"/>
      <c r="E489" s="458"/>
      <c r="F489" s="458"/>
      <c r="G489" s="458"/>
      <c r="H489" s="458"/>
      <c r="I489" s="458"/>
      <c r="J489" s="458"/>
      <c r="K489" s="458"/>
      <c r="L489" s="458"/>
      <c r="M489" s="458"/>
      <c r="N489" s="458"/>
      <c r="O489" s="458"/>
      <c r="P489" s="458"/>
      <c r="Q489" s="458"/>
      <c r="R489" s="458"/>
      <c r="S489" s="458"/>
      <c r="T489" s="458"/>
      <c r="U489" s="458"/>
      <c r="V489" s="458"/>
      <c r="W489" s="458"/>
    </row>
    <row r="490" spans="1:23" ht="15.75" customHeight="1">
      <c r="A490" s="458"/>
      <c r="B490" s="458"/>
      <c r="C490" s="458"/>
      <c r="D490" s="458"/>
      <c r="E490" s="458"/>
      <c r="F490" s="458"/>
      <c r="G490" s="458"/>
      <c r="H490" s="458"/>
      <c r="I490" s="458"/>
      <c r="J490" s="458"/>
      <c r="K490" s="458"/>
      <c r="L490" s="458"/>
      <c r="M490" s="458"/>
      <c r="N490" s="458"/>
      <c r="O490" s="458"/>
      <c r="P490" s="458"/>
      <c r="Q490" s="458"/>
      <c r="R490" s="458"/>
      <c r="S490" s="458"/>
      <c r="T490" s="458"/>
      <c r="U490" s="458"/>
      <c r="V490" s="458"/>
      <c r="W490" s="458"/>
    </row>
    <row r="491" spans="1:23" ht="15.75" customHeight="1">
      <c r="A491" s="458"/>
      <c r="B491" s="458"/>
      <c r="C491" s="458"/>
      <c r="D491" s="458"/>
      <c r="E491" s="458"/>
      <c r="F491" s="458"/>
      <c r="G491" s="458"/>
      <c r="H491" s="458"/>
      <c r="I491" s="458"/>
      <c r="J491" s="458"/>
      <c r="K491" s="458"/>
      <c r="L491" s="458"/>
      <c r="M491" s="458"/>
      <c r="N491" s="458"/>
      <c r="O491" s="458"/>
      <c r="P491" s="458"/>
      <c r="Q491" s="458"/>
      <c r="R491" s="458"/>
      <c r="S491" s="458"/>
      <c r="T491" s="458"/>
      <c r="U491" s="458"/>
      <c r="V491" s="458"/>
      <c r="W491" s="458"/>
    </row>
    <row r="492" spans="1:23" ht="15.75" customHeight="1">
      <c r="A492" s="458"/>
      <c r="B492" s="458"/>
      <c r="C492" s="458"/>
      <c r="D492" s="458"/>
      <c r="E492" s="458"/>
      <c r="F492" s="458"/>
      <c r="G492" s="458"/>
      <c r="H492" s="458"/>
      <c r="I492" s="458"/>
      <c r="J492" s="458"/>
      <c r="K492" s="458"/>
      <c r="L492" s="458"/>
      <c r="M492" s="458"/>
      <c r="N492" s="458"/>
      <c r="O492" s="458"/>
      <c r="P492" s="458"/>
      <c r="Q492" s="458"/>
      <c r="R492" s="458"/>
      <c r="S492" s="458"/>
      <c r="T492" s="458"/>
      <c r="U492" s="458"/>
      <c r="V492" s="458"/>
      <c r="W492" s="458"/>
    </row>
    <row r="493" spans="1:23" ht="15.75" customHeight="1">
      <c r="A493" s="458"/>
      <c r="B493" s="458"/>
      <c r="C493" s="458"/>
      <c r="D493" s="458"/>
      <c r="E493" s="458"/>
      <c r="F493" s="458"/>
      <c r="G493" s="458"/>
      <c r="H493" s="458"/>
      <c r="I493" s="458"/>
      <c r="J493" s="458"/>
      <c r="K493" s="458"/>
      <c r="L493" s="458"/>
      <c r="M493" s="458"/>
      <c r="N493" s="458"/>
      <c r="O493" s="458"/>
      <c r="P493" s="458"/>
      <c r="Q493" s="458"/>
      <c r="R493" s="458"/>
      <c r="S493" s="458"/>
      <c r="T493" s="458"/>
      <c r="U493" s="458"/>
      <c r="V493" s="458"/>
      <c r="W493" s="458"/>
    </row>
    <row r="494" spans="1:23" ht="15.75" customHeight="1">
      <c r="A494" s="458"/>
      <c r="B494" s="458"/>
      <c r="C494" s="458"/>
      <c r="D494" s="458"/>
      <c r="E494" s="458"/>
      <c r="F494" s="458"/>
      <c r="G494" s="458"/>
      <c r="H494" s="458"/>
      <c r="I494" s="458"/>
      <c r="J494" s="458"/>
      <c r="K494" s="458"/>
      <c r="L494" s="458"/>
      <c r="M494" s="458"/>
      <c r="N494" s="458"/>
      <c r="O494" s="458"/>
      <c r="P494" s="458"/>
      <c r="Q494" s="458"/>
      <c r="R494" s="458"/>
      <c r="S494" s="458"/>
      <c r="T494" s="458"/>
      <c r="U494" s="458"/>
      <c r="V494" s="458"/>
      <c r="W494" s="458"/>
    </row>
    <row r="495" spans="1:23" ht="15.75" customHeight="1">
      <c r="A495" s="458"/>
      <c r="B495" s="458"/>
      <c r="C495" s="458"/>
      <c r="D495" s="458"/>
      <c r="E495" s="458"/>
      <c r="F495" s="458"/>
      <c r="G495" s="458"/>
      <c r="H495" s="458"/>
      <c r="I495" s="458"/>
      <c r="J495" s="458"/>
      <c r="K495" s="458"/>
      <c r="L495" s="458"/>
      <c r="M495" s="458"/>
      <c r="N495" s="458"/>
      <c r="O495" s="458"/>
      <c r="P495" s="458"/>
      <c r="Q495" s="458"/>
      <c r="R495" s="458"/>
      <c r="S495" s="458"/>
      <c r="T495" s="458"/>
      <c r="U495" s="458"/>
      <c r="V495" s="458"/>
      <c r="W495" s="458"/>
    </row>
    <row r="496" spans="1:23" ht="15.75" customHeight="1">
      <c r="A496" s="458"/>
      <c r="B496" s="458"/>
      <c r="C496" s="458"/>
      <c r="D496" s="458"/>
      <c r="E496" s="458"/>
      <c r="F496" s="458"/>
      <c r="G496" s="458"/>
      <c r="H496" s="458"/>
      <c r="I496" s="458"/>
      <c r="J496" s="458"/>
      <c r="K496" s="458"/>
      <c r="L496" s="458"/>
      <c r="M496" s="458"/>
      <c r="N496" s="458"/>
      <c r="O496" s="458"/>
      <c r="P496" s="458"/>
      <c r="Q496" s="458"/>
      <c r="R496" s="458"/>
      <c r="S496" s="458"/>
      <c r="T496" s="458"/>
      <c r="U496" s="458"/>
      <c r="V496" s="458"/>
      <c r="W496" s="458"/>
    </row>
    <row r="497" spans="1:23" ht="15.75" customHeight="1">
      <c r="A497" s="458"/>
      <c r="B497" s="458"/>
      <c r="C497" s="458"/>
      <c r="D497" s="458"/>
      <c r="E497" s="458"/>
      <c r="F497" s="458"/>
      <c r="G497" s="458"/>
      <c r="H497" s="458"/>
      <c r="I497" s="458"/>
      <c r="J497" s="458"/>
      <c r="K497" s="458"/>
      <c r="L497" s="458"/>
      <c r="M497" s="458"/>
      <c r="N497" s="458"/>
      <c r="O497" s="458"/>
      <c r="P497" s="458"/>
      <c r="Q497" s="458"/>
      <c r="R497" s="458"/>
      <c r="S497" s="458"/>
      <c r="T497" s="458"/>
      <c r="U497" s="458"/>
      <c r="V497" s="458"/>
      <c r="W497" s="458"/>
    </row>
    <row r="498" spans="1:23" ht="15.75" customHeight="1">
      <c r="A498" s="458"/>
      <c r="B498" s="458"/>
      <c r="C498" s="458"/>
      <c r="D498" s="458"/>
      <c r="E498" s="458"/>
      <c r="F498" s="458"/>
      <c r="G498" s="458"/>
      <c r="H498" s="458"/>
      <c r="I498" s="458"/>
      <c r="J498" s="458"/>
      <c r="K498" s="458"/>
      <c r="L498" s="458"/>
      <c r="M498" s="458"/>
      <c r="N498" s="458"/>
      <c r="O498" s="458"/>
      <c r="P498" s="458"/>
      <c r="Q498" s="458"/>
      <c r="R498" s="458"/>
      <c r="S498" s="458"/>
      <c r="T498" s="458"/>
      <c r="U498" s="458"/>
      <c r="V498" s="458"/>
      <c r="W498" s="458"/>
    </row>
    <row r="499" spans="1:23" ht="15.75" customHeight="1">
      <c r="A499" s="458"/>
      <c r="B499" s="458"/>
      <c r="C499" s="458"/>
      <c r="D499" s="458"/>
      <c r="E499" s="458"/>
      <c r="F499" s="458"/>
      <c r="G499" s="458"/>
      <c r="H499" s="458"/>
      <c r="I499" s="458"/>
      <c r="J499" s="458"/>
      <c r="K499" s="458"/>
      <c r="L499" s="458"/>
      <c r="M499" s="458"/>
      <c r="N499" s="458"/>
      <c r="O499" s="458"/>
      <c r="P499" s="458"/>
      <c r="Q499" s="458"/>
      <c r="R499" s="458"/>
      <c r="S499" s="458"/>
      <c r="T499" s="458"/>
      <c r="U499" s="458"/>
      <c r="V499" s="458"/>
      <c r="W499" s="458"/>
    </row>
    <row r="500" spans="1:23" ht="15.75" customHeight="1">
      <c r="A500" s="458"/>
      <c r="B500" s="458"/>
      <c r="C500" s="458"/>
      <c r="D500" s="458"/>
      <c r="E500" s="458"/>
      <c r="F500" s="458"/>
      <c r="G500" s="458"/>
      <c r="H500" s="458"/>
      <c r="I500" s="458"/>
      <c r="J500" s="458"/>
      <c r="K500" s="458"/>
      <c r="L500" s="458"/>
      <c r="M500" s="458"/>
      <c r="N500" s="458"/>
      <c r="O500" s="458"/>
      <c r="P500" s="458"/>
      <c r="Q500" s="458"/>
      <c r="R500" s="458"/>
      <c r="S500" s="458"/>
      <c r="T500" s="458"/>
      <c r="U500" s="458"/>
      <c r="V500" s="458"/>
      <c r="W500" s="458"/>
    </row>
    <row r="501" spans="1:23" ht="15.75" customHeight="1">
      <c r="A501" s="458"/>
      <c r="B501" s="458"/>
      <c r="C501" s="458"/>
      <c r="D501" s="458"/>
      <c r="E501" s="458"/>
      <c r="F501" s="458"/>
      <c r="G501" s="458"/>
      <c r="H501" s="458"/>
      <c r="I501" s="458"/>
      <c r="J501" s="458"/>
      <c r="K501" s="458"/>
      <c r="L501" s="458"/>
      <c r="M501" s="458"/>
      <c r="N501" s="458"/>
      <c r="O501" s="458"/>
      <c r="P501" s="458"/>
      <c r="Q501" s="458"/>
      <c r="R501" s="458"/>
      <c r="S501" s="458"/>
      <c r="T501" s="458"/>
      <c r="U501" s="458"/>
      <c r="V501" s="458"/>
      <c r="W501" s="458"/>
    </row>
    <row r="502" spans="1:23" ht="15.75" customHeight="1">
      <c r="A502" s="458"/>
      <c r="B502" s="458"/>
      <c r="C502" s="458"/>
      <c r="D502" s="458"/>
      <c r="E502" s="458"/>
      <c r="F502" s="458"/>
      <c r="G502" s="458"/>
      <c r="H502" s="458"/>
      <c r="I502" s="458"/>
      <c r="J502" s="458"/>
      <c r="K502" s="458"/>
      <c r="L502" s="458"/>
      <c r="M502" s="458"/>
      <c r="N502" s="458"/>
      <c r="O502" s="458"/>
      <c r="P502" s="458"/>
      <c r="Q502" s="458"/>
      <c r="R502" s="458"/>
      <c r="S502" s="458"/>
      <c r="T502" s="458"/>
      <c r="U502" s="458"/>
      <c r="V502" s="458"/>
      <c r="W502" s="458"/>
    </row>
    <row r="503" spans="1:23" ht="15.75" customHeight="1">
      <c r="A503" s="458"/>
      <c r="B503" s="458"/>
      <c r="C503" s="458"/>
      <c r="D503" s="458"/>
      <c r="E503" s="458"/>
      <c r="F503" s="458"/>
      <c r="G503" s="458"/>
      <c r="H503" s="458"/>
      <c r="I503" s="458"/>
      <c r="J503" s="458"/>
      <c r="K503" s="458"/>
      <c r="L503" s="458"/>
      <c r="M503" s="458"/>
      <c r="N503" s="458"/>
      <c r="O503" s="458"/>
      <c r="P503" s="458"/>
      <c r="Q503" s="458"/>
      <c r="R503" s="458"/>
      <c r="S503" s="458"/>
      <c r="T503" s="458"/>
      <c r="U503" s="458"/>
      <c r="V503" s="458"/>
      <c r="W503" s="458"/>
    </row>
    <row r="504" spans="1:23" ht="15.75" customHeight="1">
      <c r="A504" s="458"/>
      <c r="B504" s="458"/>
      <c r="C504" s="458"/>
      <c r="D504" s="458"/>
      <c r="E504" s="458"/>
      <c r="F504" s="458"/>
      <c r="G504" s="458"/>
      <c r="H504" s="458"/>
      <c r="I504" s="458"/>
      <c r="J504" s="458"/>
      <c r="K504" s="458"/>
      <c r="L504" s="458"/>
      <c r="M504" s="458"/>
      <c r="N504" s="458"/>
      <c r="O504" s="458"/>
      <c r="P504" s="458"/>
      <c r="Q504" s="458"/>
      <c r="R504" s="458"/>
      <c r="S504" s="458"/>
      <c r="T504" s="458"/>
      <c r="U504" s="458"/>
      <c r="V504" s="458"/>
      <c r="W504" s="458"/>
    </row>
    <row r="505" spans="1:23" ht="15.75" customHeight="1">
      <c r="A505" s="458"/>
      <c r="B505" s="458"/>
      <c r="C505" s="458"/>
      <c r="D505" s="458"/>
      <c r="E505" s="458"/>
      <c r="F505" s="458"/>
      <c r="G505" s="458"/>
      <c r="H505" s="458"/>
      <c r="I505" s="458"/>
      <c r="J505" s="458"/>
      <c r="K505" s="458"/>
      <c r="L505" s="458"/>
      <c r="M505" s="458"/>
      <c r="N505" s="458"/>
      <c r="O505" s="458"/>
      <c r="P505" s="458"/>
      <c r="Q505" s="458"/>
      <c r="R505" s="458"/>
      <c r="S505" s="458"/>
      <c r="T505" s="458"/>
      <c r="U505" s="458"/>
      <c r="V505" s="458"/>
      <c r="W505" s="458"/>
    </row>
    <row r="506" spans="1:23" ht="15.75" customHeight="1">
      <c r="A506" s="458"/>
      <c r="B506" s="458"/>
      <c r="C506" s="458"/>
      <c r="D506" s="458"/>
      <c r="E506" s="458"/>
      <c r="F506" s="458"/>
      <c r="G506" s="458"/>
      <c r="H506" s="458"/>
      <c r="I506" s="458"/>
      <c r="J506" s="458"/>
      <c r="K506" s="458"/>
      <c r="L506" s="458"/>
      <c r="M506" s="458"/>
      <c r="N506" s="458"/>
      <c r="O506" s="458"/>
      <c r="P506" s="458"/>
      <c r="Q506" s="458"/>
      <c r="R506" s="458"/>
      <c r="S506" s="458"/>
      <c r="T506" s="458"/>
      <c r="U506" s="458"/>
      <c r="V506" s="458"/>
      <c r="W506" s="458"/>
    </row>
    <row r="507" spans="1:23" ht="15.75" customHeight="1">
      <c r="A507" s="458"/>
      <c r="B507" s="458"/>
      <c r="C507" s="458"/>
      <c r="D507" s="458"/>
      <c r="E507" s="458"/>
      <c r="F507" s="458"/>
      <c r="G507" s="458"/>
      <c r="H507" s="458"/>
      <c r="I507" s="458"/>
      <c r="J507" s="458"/>
      <c r="K507" s="458"/>
      <c r="L507" s="458"/>
      <c r="M507" s="458"/>
      <c r="N507" s="458"/>
      <c r="O507" s="458"/>
      <c r="P507" s="458"/>
      <c r="Q507" s="458"/>
      <c r="R507" s="458"/>
      <c r="S507" s="458"/>
      <c r="T507" s="458"/>
      <c r="U507" s="458"/>
      <c r="V507" s="458"/>
      <c r="W507" s="458"/>
    </row>
    <row r="508" spans="1:23" ht="15.75" customHeight="1">
      <c r="A508" s="458"/>
      <c r="B508" s="458"/>
      <c r="C508" s="458"/>
      <c r="D508" s="458"/>
      <c r="E508" s="458"/>
      <c r="F508" s="458"/>
      <c r="G508" s="458"/>
      <c r="H508" s="458"/>
      <c r="I508" s="458"/>
      <c r="J508" s="458"/>
      <c r="K508" s="458"/>
      <c r="L508" s="458"/>
      <c r="M508" s="458"/>
      <c r="N508" s="458"/>
      <c r="O508" s="458"/>
      <c r="P508" s="458"/>
      <c r="Q508" s="458"/>
      <c r="R508" s="458"/>
      <c r="S508" s="458"/>
      <c r="T508" s="458"/>
      <c r="U508" s="458"/>
      <c r="V508" s="458"/>
      <c r="W508" s="458"/>
    </row>
    <row r="509" spans="1:23" ht="15.75" customHeight="1">
      <c r="A509" s="458"/>
      <c r="B509" s="458"/>
      <c r="C509" s="458"/>
      <c r="D509" s="458"/>
      <c r="E509" s="458"/>
      <c r="F509" s="458"/>
      <c r="G509" s="458"/>
      <c r="H509" s="458"/>
      <c r="I509" s="458"/>
      <c r="J509" s="458"/>
      <c r="K509" s="458"/>
      <c r="L509" s="458"/>
      <c r="M509" s="458"/>
      <c r="N509" s="458"/>
      <c r="O509" s="458"/>
      <c r="P509" s="458"/>
      <c r="Q509" s="458"/>
      <c r="R509" s="458"/>
      <c r="S509" s="458"/>
      <c r="T509" s="458"/>
      <c r="U509" s="458"/>
      <c r="V509" s="458"/>
      <c r="W509" s="458"/>
    </row>
    <row r="510" spans="1:23" ht="15.75" customHeight="1">
      <c r="A510" s="458"/>
      <c r="B510" s="458"/>
      <c r="C510" s="458"/>
      <c r="D510" s="458"/>
      <c r="E510" s="458"/>
      <c r="F510" s="458"/>
      <c r="G510" s="458"/>
      <c r="H510" s="458"/>
      <c r="I510" s="458"/>
      <c r="J510" s="458"/>
      <c r="K510" s="458"/>
      <c r="L510" s="458"/>
      <c r="M510" s="458"/>
      <c r="N510" s="458"/>
      <c r="O510" s="458"/>
      <c r="P510" s="458"/>
      <c r="Q510" s="458"/>
      <c r="R510" s="458"/>
      <c r="S510" s="458"/>
      <c r="T510" s="458"/>
      <c r="U510" s="458"/>
      <c r="V510" s="458"/>
      <c r="W510" s="458"/>
    </row>
    <row r="511" spans="1:23" ht="15.75" customHeight="1">
      <c r="A511" s="458"/>
      <c r="B511" s="458"/>
      <c r="C511" s="458"/>
      <c r="D511" s="458"/>
      <c r="E511" s="458"/>
      <c r="F511" s="458"/>
      <c r="G511" s="458"/>
      <c r="H511" s="458"/>
      <c r="I511" s="458"/>
      <c r="J511" s="458"/>
      <c r="K511" s="458"/>
      <c r="L511" s="458"/>
      <c r="M511" s="458"/>
      <c r="N511" s="458"/>
      <c r="O511" s="458"/>
      <c r="P511" s="458"/>
      <c r="Q511" s="458"/>
      <c r="R511" s="458"/>
      <c r="S511" s="458"/>
      <c r="T511" s="458"/>
      <c r="U511" s="458"/>
      <c r="V511" s="458"/>
      <c r="W511" s="458"/>
    </row>
    <row r="512" spans="1:23" ht="15.75" customHeight="1">
      <c r="A512" s="458"/>
      <c r="B512" s="458"/>
      <c r="C512" s="458"/>
      <c r="D512" s="458"/>
      <c r="E512" s="458"/>
      <c r="F512" s="458"/>
      <c r="G512" s="458"/>
      <c r="H512" s="458"/>
      <c r="I512" s="458"/>
      <c r="J512" s="458"/>
      <c r="K512" s="458"/>
      <c r="L512" s="458"/>
      <c r="M512" s="458"/>
      <c r="N512" s="458"/>
      <c r="O512" s="458"/>
      <c r="P512" s="458"/>
      <c r="Q512" s="458"/>
      <c r="R512" s="458"/>
      <c r="S512" s="458"/>
      <c r="T512" s="458"/>
      <c r="U512" s="458"/>
      <c r="V512" s="458"/>
      <c r="W512" s="458"/>
    </row>
    <row r="513" spans="1:23" ht="15.75" customHeight="1">
      <c r="A513" s="458"/>
      <c r="B513" s="458"/>
      <c r="C513" s="458"/>
      <c r="D513" s="458"/>
      <c r="E513" s="458"/>
      <c r="F513" s="458"/>
      <c r="G513" s="458"/>
      <c r="H513" s="458"/>
      <c r="I513" s="458"/>
      <c r="J513" s="458"/>
      <c r="K513" s="458"/>
      <c r="L513" s="458"/>
      <c r="M513" s="458"/>
      <c r="N513" s="458"/>
      <c r="O513" s="458"/>
      <c r="P513" s="458"/>
      <c r="Q513" s="458"/>
      <c r="R513" s="458"/>
      <c r="S513" s="458"/>
      <c r="T513" s="458"/>
      <c r="U513" s="458"/>
      <c r="V513" s="458"/>
      <c r="W513" s="458"/>
    </row>
    <row r="514" spans="1:23" ht="15.75" customHeight="1">
      <c r="A514" s="458"/>
      <c r="B514" s="458"/>
      <c r="C514" s="458"/>
      <c r="D514" s="458"/>
      <c r="E514" s="458"/>
      <c r="F514" s="458"/>
      <c r="G514" s="458"/>
      <c r="H514" s="458"/>
      <c r="I514" s="458"/>
      <c r="J514" s="458"/>
      <c r="K514" s="458"/>
      <c r="L514" s="458"/>
      <c r="M514" s="458"/>
      <c r="N514" s="458"/>
      <c r="O514" s="458"/>
      <c r="P514" s="458"/>
      <c r="Q514" s="458"/>
      <c r="R514" s="458"/>
      <c r="S514" s="458"/>
      <c r="T514" s="458"/>
      <c r="U514" s="458"/>
      <c r="V514" s="458"/>
      <c r="W514" s="458"/>
    </row>
    <row r="515" spans="1:23" ht="15.75" customHeight="1">
      <c r="A515" s="458"/>
      <c r="B515" s="458"/>
      <c r="C515" s="458"/>
      <c r="D515" s="458"/>
      <c r="E515" s="458"/>
      <c r="F515" s="458"/>
      <c r="G515" s="458"/>
      <c r="H515" s="458"/>
      <c r="I515" s="458"/>
      <c r="J515" s="458"/>
      <c r="K515" s="458"/>
      <c r="L515" s="458"/>
      <c r="M515" s="458"/>
      <c r="N515" s="458"/>
      <c r="O515" s="458"/>
      <c r="P515" s="458"/>
      <c r="Q515" s="458"/>
      <c r="R515" s="458"/>
      <c r="S515" s="458"/>
      <c r="T515" s="458"/>
      <c r="U515" s="458"/>
      <c r="V515" s="458"/>
      <c r="W515" s="458"/>
    </row>
    <row r="516" spans="1:23" ht="15.75" customHeight="1">
      <c r="A516" s="458"/>
      <c r="B516" s="458"/>
      <c r="C516" s="458"/>
      <c r="D516" s="458"/>
      <c r="E516" s="458"/>
      <c r="F516" s="458"/>
      <c r="G516" s="458"/>
      <c r="H516" s="458"/>
      <c r="I516" s="458"/>
      <c r="J516" s="458"/>
      <c r="K516" s="458"/>
      <c r="L516" s="458"/>
      <c r="M516" s="458"/>
      <c r="N516" s="458"/>
      <c r="O516" s="458"/>
      <c r="P516" s="458"/>
      <c r="Q516" s="458"/>
      <c r="R516" s="458"/>
      <c r="S516" s="458"/>
      <c r="T516" s="458"/>
      <c r="U516" s="458"/>
      <c r="V516" s="458"/>
      <c r="W516" s="458"/>
    </row>
    <row r="517" spans="1:23" ht="15.75" customHeight="1">
      <c r="A517" s="458"/>
      <c r="B517" s="458"/>
      <c r="C517" s="458"/>
      <c r="D517" s="458"/>
      <c r="E517" s="458"/>
      <c r="F517" s="458"/>
      <c r="G517" s="458"/>
      <c r="H517" s="458"/>
      <c r="I517" s="458"/>
      <c r="J517" s="458"/>
      <c r="K517" s="458"/>
      <c r="L517" s="458"/>
      <c r="M517" s="458"/>
      <c r="N517" s="458"/>
      <c r="O517" s="458"/>
      <c r="P517" s="458"/>
      <c r="Q517" s="458"/>
      <c r="R517" s="458"/>
      <c r="S517" s="458"/>
      <c r="T517" s="458"/>
      <c r="U517" s="458"/>
      <c r="V517" s="458"/>
      <c r="W517" s="458"/>
    </row>
    <row r="518" spans="1:23" ht="15.75" customHeight="1">
      <c r="A518" s="458"/>
      <c r="B518" s="458"/>
      <c r="C518" s="458"/>
      <c r="D518" s="458"/>
      <c r="E518" s="458"/>
      <c r="F518" s="458"/>
      <c r="G518" s="458"/>
      <c r="H518" s="458"/>
      <c r="I518" s="458"/>
      <c r="J518" s="458"/>
      <c r="K518" s="458"/>
      <c r="L518" s="458"/>
      <c r="M518" s="458"/>
      <c r="N518" s="458"/>
      <c r="O518" s="458"/>
      <c r="P518" s="458"/>
      <c r="Q518" s="458"/>
      <c r="R518" s="458"/>
      <c r="S518" s="458"/>
      <c r="T518" s="458"/>
      <c r="U518" s="458"/>
      <c r="V518" s="458"/>
      <c r="W518" s="458"/>
    </row>
    <row r="519" spans="1:23" ht="15.75" customHeight="1">
      <c r="A519" s="458"/>
      <c r="B519" s="458"/>
      <c r="C519" s="458"/>
      <c r="D519" s="458"/>
      <c r="E519" s="458"/>
      <c r="F519" s="458"/>
      <c r="G519" s="458"/>
      <c r="H519" s="458"/>
      <c r="I519" s="458"/>
      <c r="J519" s="458"/>
      <c r="K519" s="458"/>
      <c r="L519" s="458"/>
      <c r="M519" s="458"/>
      <c r="N519" s="458"/>
      <c r="O519" s="458"/>
      <c r="P519" s="458"/>
      <c r="Q519" s="458"/>
      <c r="R519" s="458"/>
      <c r="S519" s="458"/>
      <c r="T519" s="458"/>
      <c r="U519" s="458"/>
      <c r="V519" s="458"/>
      <c r="W519" s="458"/>
    </row>
    <row r="520" spans="1:23" ht="15.75" customHeight="1">
      <c r="A520" s="458"/>
      <c r="B520" s="458"/>
      <c r="C520" s="458"/>
      <c r="D520" s="458"/>
      <c r="E520" s="458"/>
      <c r="F520" s="458"/>
      <c r="G520" s="458"/>
      <c r="H520" s="458"/>
      <c r="I520" s="458"/>
      <c r="J520" s="458"/>
      <c r="K520" s="458"/>
      <c r="L520" s="458"/>
      <c r="M520" s="458"/>
      <c r="N520" s="458"/>
      <c r="O520" s="458"/>
      <c r="P520" s="458"/>
      <c r="Q520" s="458"/>
      <c r="R520" s="458"/>
      <c r="S520" s="458"/>
      <c r="T520" s="458"/>
      <c r="U520" s="458"/>
      <c r="V520" s="458"/>
      <c r="W520" s="458"/>
    </row>
    <row r="521" spans="1:23" ht="15.75" customHeight="1">
      <c r="A521" s="458"/>
      <c r="B521" s="458"/>
      <c r="C521" s="458"/>
      <c r="D521" s="458"/>
      <c r="E521" s="458"/>
      <c r="F521" s="458"/>
      <c r="G521" s="458"/>
      <c r="H521" s="458"/>
      <c r="I521" s="458"/>
      <c r="J521" s="458"/>
      <c r="K521" s="458"/>
      <c r="L521" s="458"/>
      <c r="M521" s="458"/>
      <c r="N521" s="458"/>
      <c r="O521" s="458"/>
      <c r="P521" s="458"/>
      <c r="Q521" s="458"/>
      <c r="R521" s="458"/>
      <c r="S521" s="458"/>
      <c r="T521" s="458"/>
      <c r="U521" s="458"/>
      <c r="V521" s="458"/>
      <c r="W521" s="458"/>
    </row>
    <row r="522" spans="1:23" ht="15.75" customHeight="1">
      <c r="A522" s="458"/>
      <c r="B522" s="458"/>
      <c r="C522" s="458"/>
      <c r="D522" s="458"/>
      <c r="E522" s="458"/>
      <c r="F522" s="458"/>
      <c r="G522" s="458"/>
      <c r="H522" s="458"/>
      <c r="I522" s="458"/>
      <c r="J522" s="458"/>
      <c r="K522" s="458"/>
      <c r="L522" s="458"/>
      <c r="M522" s="458"/>
      <c r="N522" s="458"/>
      <c r="O522" s="458"/>
      <c r="P522" s="458"/>
      <c r="Q522" s="458"/>
      <c r="R522" s="458"/>
      <c r="S522" s="458"/>
      <c r="T522" s="458"/>
      <c r="U522" s="458"/>
      <c r="V522" s="458"/>
      <c r="W522" s="458"/>
    </row>
    <row r="523" spans="1:23" ht="15.75" customHeight="1">
      <c r="A523" s="458"/>
      <c r="B523" s="458"/>
      <c r="C523" s="458"/>
      <c r="D523" s="458"/>
      <c r="E523" s="458"/>
      <c r="F523" s="458"/>
      <c r="G523" s="458"/>
      <c r="H523" s="458"/>
      <c r="I523" s="458"/>
      <c r="J523" s="458"/>
      <c r="K523" s="458"/>
      <c r="L523" s="458"/>
      <c r="M523" s="458"/>
      <c r="N523" s="458"/>
      <c r="O523" s="458"/>
      <c r="P523" s="458"/>
      <c r="Q523" s="458"/>
      <c r="R523" s="458"/>
      <c r="S523" s="458"/>
      <c r="T523" s="458"/>
      <c r="U523" s="458"/>
      <c r="V523" s="458"/>
      <c r="W523" s="458"/>
    </row>
    <row r="524" spans="1:23" ht="15.75" customHeight="1">
      <c r="A524" s="458"/>
      <c r="B524" s="458"/>
      <c r="C524" s="458"/>
      <c r="D524" s="458"/>
      <c r="E524" s="458"/>
      <c r="F524" s="458"/>
      <c r="G524" s="458"/>
      <c r="H524" s="458"/>
      <c r="I524" s="458"/>
      <c r="J524" s="458"/>
      <c r="K524" s="458"/>
      <c r="L524" s="458"/>
      <c r="M524" s="458"/>
      <c r="N524" s="458"/>
      <c r="O524" s="458"/>
      <c r="P524" s="458"/>
      <c r="Q524" s="458"/>
      <c r="R524" s="458"/>
      <c r="S524" s="458"/>
      <c r="T524" s="458"/>
      <c r="U524" s="458"/>
      <c r="V524" s="458"/>
      <c r="W524" s="458"/>
    </row>
    <row r="525" spans="1:23" ht="15.75" customHeight="1">
      <c r="A525" s="458"/>
      <c r="B525" s="458"/>
      <c r="C525" s="458"/>
      <c r="D525" s="458"/>
      <c r="E525" s="458"/>
      <c r="F525" s="458"/>
      <c r="G525" s="458"/>
      <c r="H525" s="458"/>
      <c r="I525" s="458"/>
      <c r="J525" s="458"/>
      <c r="K525" s="458"/>
      <c r="L525" s="458"/>
      <c r="M525" s="458"/>
      <c r="N525" s="458"/>
      <c r="O525" s="458"/>
      <c r="P525" s="458"/>
      <c r="Q525" s="458"/>
      <c r="R525" s="458"/>
      <c r="S525" s="458"/>
      <c r="T525" s="458"/>
      <c r="U525" s="458"/>
      <c r="V525" s="458"/>
      <c r="W525" s="458"/>
    </row>
    <row r="526" spans="1:23" ht="15.75" customHeight="1">
      <c r="A526" s="458"/>
      <c r="B526" s="458"/>
      <c r="C526" s="458"/>
      <c r="D526" s="458"/>
      <c r="E526" s="458"/>
      <c r="F526" s="458"/>
      <c r="G526" s="458"/>
      <c r="H526" s="458"/>
      <c r="I526" s="458"/>
      <c r="J526" s="458"/>
      <c r="K526" s="458"/>
      <c r="L526" s="458"/>
      <c r="M526" s="458"/>
      <c r="N526" s="458"/>
      <c r="O526" s="458"/>
      <c r="P526" s="458"/>
      <c r="Q526" s="458"/>
      <c r="R526" s="458"/>
      <c r="S526" s="458"/>
      <c r="T526" s="458"/>
      <c r="U526" s="458"/>
      <c r="V526" s="458"/>
      <c r="W526" s="458"/>
    </row>
    <row r="527" spans="1:23" ht="15.75" customHeight="1">
      <c r="A527" s="458"/>
      <c r="B527" s="458"/>
      <c r="C527" s="458"/>
      <c r="D527" s="458"/>
      <c r="E527" s="458"/>
      <c r="F527" s="458"/>
      <c r="G527" s="458"/>
      <c r="H527" s="458"/>
      <c r="I527" s="458"/>
      <c r="J527" s="458"/>
      <c r="K527" s="458"/>
      <c r="L527" s="458"/>
      <c r="M527" s="458"/>
      <c r="N527" s="458"/>
      <c r="O527" s="458"/>
      <c r="P527" s="458"/>
      <c r="Q527" s="458"/>
      <c r="R527" s="458"/>
      <c r="S527" s="458"/>
      <c r="T527" s="458"/>
      <c r="U527" s="458"/>
      <c r="V527" s="458"/>
      <c r="W527" s="458"/>
    </row>
    <row r="528" spans="1:23" ht="15.75" customHeight="1">
      <c r="A528" s="458"/>
      <c r="B528" s="458"/>
      <c r="C528" s="458"/>
      <c r="D528" s="458"/>
      <c r="E528" s="458"/>
      <c r="F528" s="458"/>
      <c r="G528" s="458"/>
      <c r="H528" s="458"/>
      <c r="I528" s="458"/>
      <c r="J528" s="458"/>
      <c r="K528" s="458"/>
      <c r="L528" s="458"/>
      <c r="M528" s="458"/>
      <c r="N528" s="458"/>
      <c r="O528" s="458"/>
      <c r="P528" s="458"/>
      <c r="Q528" s="458"/>
      <c r="R528" s="458"/>
      <c r="S528" s="458"/>
      <c r="T528" s="458"/>
      <c r="U528" s="458"/>
      <c r="V528" s="458"/>
      <c r="W528" s="458"/>
    </row>
    <row r="529" spans="1:23" ht="15.75" customHeight="1">
      <c r="A529" s="458"/>
      <c r="B529" s="458"/>
      <c r="C529" s="458"/>
      <c r="D529" s="458"/>
      <c r="E529" s="458"/>
      <c r="F529" s="458"/>
      <c r="G529" s="458"/>
      <c r="H529" s="458"/>
      <c r="I529" s="458"/>
      <c r="J529" s="458"/>
      <c r="K529" s="458"/>
      <c r="L529" s="458"/>
      <c r="M529" s="458"/>
      <c r="N529" s="458"/>
      <c r="O529" s="458"/>
      <c r="P529" s="458"/>
      <c r="Q529" s="458"/>
      <c r="R529" s="458"/>
      <c r="S529" s="458"/>
      <c r="T529" s="458"/>
      <c r="U529" s="458"/>
      <c r="V529" s="458"/>
      <c r="W529" s="458"/>
    </row>
    <row r="530" spans="1:23" ht="15.75" customHeight="1">
      <c r="A530" s="458"/>
      <c r="B530" s="458"/>
      <c r="C530" s="458"/>
      <c r="D530" s="458"/>
      <c r="E530" s="458"/>
      <c r="F530" s="458"/>
      <c r="G530" s="458"/>
      <c r="H530" s="458"/>
      <c r="I530" s="458"/>
      <c r="J530" s="458"/>
      <c r="K530" s="458"/>
      <c r="L530" s="458"/>
      <c r="M530" s="458"/>
      <c r="N530" s="458"/>
      <c r="O530" s="458"/>
      <c r="P530" s="458"/>
      <c r="Q530" s="458"/>
      <c r="R530" s="458"/>
      <c r="S530" s="458"/>
      <c r="T530" s="458"/>
      <c r="U530" s="458"/>
      <c r="V530" s="458"/>
      <c r="W530" s="458"/>
    </row>
    <row r="531" spans="1:23" ht="15.75" customHeight="1">
      <c r="A531" s="458"/>
      <c r="B531" s="458"/>
      <c r="C531" s="458"/>
      <c r="D531" s="458"/>
      <c r="E531" s="458"/>
      <c r="F531" s="458"/>
      <c r="G531" s="458"/>
      <c r="H531" s="458"/>
      <c r="I531" s="458"/>
      <c r="J531" s="458"/>
      <c r="K531" s="458"/>
      <c r="L531" s="458"/>
      <c r="M531" s="458"/>
      <c r="N531" s="458"/>
      <c r="O531" s="458"/>
      <c r="P531" s="458"/>
      <c r="Q531" s="458"/>
      <c r="R531" s="458"/>
      <c r="S531" s="458"/>
      <c r="T531" s="458"/>
      <c r="U531" s="458"/>
      <c r="V531" s="458"/>
      <c r="W531" s="458"/>
    </row>
    <row r="532" spans="1:23" ht="15.75" customHeight="1">
      <c r="A532" s="458"/>
      <c r="B532" s="458"/>
      <c r="C532" s="458"/>
      <c r="D532" s="458"/>
      <c r="E532" s="458"/>
      <c r="F532" s="458"/>
      <c r="G532" s="458"/>
      <c r="H532" s="458"/>
      <c r="I532" s="458"/>
      <c r="J532" s="458"/>
      <c r="K532" s="458"/>
      <c r="L532" s="458"/>
      <c r="M532" s="458"/>
      <c r="N532" s="458"/>
      <c r="O532" s="458"/>
      <c r="P532" s="458"/>
      <c r="Q532" s="458"/>
      <c r="R532" s="458"/>
      <c r="S532" s="458"/>
      <c r="T532" s="458"/>
      <c r="U532" s="458"/>
      <c r="V532" s="458"/>
      <c r="W532" s="458"/>
    </row>
    <row r="533" spans="1:23" ht="15.75" customHeight="1">
      <c r="A533" s="458"/>
      <c r="B533" s="458"/>
      <c r="C533" s="458"/>
      <c r="D533" s="458"/>
      <c r="E533" s="458"/>
      <c r="F533" s="458"/>
      <c r="G533" s="458"/>
      <c r="H533" s="458"/>
      <c r="I533" s="458"/>
      <c r="J533" s="458"/>
      <c r="K533" s="458"/>
      <c r="L533" s="458"/>
      <c r="M533" s="458"/>
      <c r="N533" s="458"/>
      <c r="O533" s="458"/>
      <c r="P533" s="458"/>
      <c r="Q533" s="458"/>
      <c r="R533" s="458"/>
      <c r="S533" s="458"/>
      <c r="T533" s="458"/>
      <c r="U533" s="458"/>
      <c r="V533" s="458"/>
      <c r="W533" s="458"/>
    </row>
    <row r="534" spans="1:23" ht="15.75" customHeight="1">
      <c r="A534" s="458"/>
      <c r="B534" s="458"/>
      <c r="C534" s="458"/>
      <c r="D534" s="458"/>
      <c r="E534" s="458"/>
      <c r="F534" s="458"/>
      <c r="G534" s="458"/>
      <c r="H534" s="458"/>
      <c r="I534" s="458"/>
      <c r="J534" s="458"/>
      <c r="K534" s="458"/>
      <c r="L534" s="458"/>
      <c r="M534" s="458"/>
      <c r="N534" s="458"/>
      <c r="O534" s="458"/>
      <c r="P534" s="458"/>
      <c r="Q534" s="458"/>
      <c r="R534" s="458"/>
      <c r="S534" s="458"/>
      <c r="T534" s="458"/>
      <c r="U534" s="458"/>
      <c r="V534" s="458"/>
      <c r="W534" s="458"/>
    </row>
    <row r="535" spans="1:23" ht="15.75" customHeight="1">
      <c r="A535" s="458"/>
      <c r="B535" s="458"/>
      <c r="C535" s="458"/>
      <c r="D535" s="458"/>
      <c r="E535" s="458"/>
      <c r="F535" s="458"/>
      <c r="G535" s="458"/>
      <c r="H535" s="458"/>
      <c r="I535" s="458"/>
      <c r="J535" s="458"/>
      <c r="K535" s="458"/>
      <c r="L535" s="458"/>
      <c r="M535" s="458"/>
      <c r="N535" s="458"/>
      <c r="O535" s="458"/>
      <c r="P535" s="458"/>
      <c r="Q535" s="458"/>
      <c r="R535" s="458"/>
      <c r="S535" s="458"/>
      <c r="T535" s="458"/>
      <c r="U535" s="458"/>
      <c r="V535" s="458"/>
      <c r="W535" s="458"/>
    </row>
    <row r="536" spans="1:23" ht="15.75" customHeight="1">
      <c r="A536" s="458"/>
      <c r="B536" s="458"/>
      <c r="C536" s="458"/>
      <c r="D536" s="458"/>
      <c r="E536" s="458"/>
      <c r="F536" s="458"/>
      <c r="G536" s="458"/>
      <c r="H536" s="458"/>
      <c r="I536" s="458"/>
      <c r="J536" s="458"/>
      <c r="K536" s="458"/>
      <c r="L536" s="458"/>
      <c r="M536" s="458"/>
      <c r="N536" s="458"/>
      <c r="O536" s="458"/>
      <c r="P536" s="458"/>
      <c r="Q536" s="458"/>
      <c r="R536" s="458"/>
      <c r="S536" s="458"/>
      <c r="T536" s="458"/>
      <c r="U536" s="458"/>
      <c r="V536" s="458"/>
      <c r="W536" s="458"/>
    </row>
    <row r="537" spans="1:23" ht="15.75" customHeight="1">
      <c r="A537" s="458"/>
      <c r="B537" s="458"/>
      <c r="C537" s="458"/>
      <c r="D537" s="458"/>
      <c r="E537" s="458"/>
      <c r="F537" s="458"/>
      <c r="G537" s="458"/>
      <c r="H537" s="458"/>
      <c r="I537" s="458"/>
      <c r="J537" s="458"/>
      <c r="K537" s="458"/>
      <c r="L537" s="458"/>
      <c r="M537" s="458"/>
      <c r="N537" s="458"/>
      <c r="O537" s="458"/>
      <c r="P537" s="458"/>
      <c r="Q537" s="458"/>
      <c r="R537" s="458"/>
      <c r="S537" s="458"/>
      <c r="T537" s="458"/>
      <c r="U537" s="458"/>
      <c r="V537" s="458"/>
      <c r="W537" s="458"/>
    </row>
    <row r="538" spans="1:23" ht="15.75" customHeight="1">
      <c r="A538" s="458"/>
      <c r="B538" s="458"/>
      <c r="C538" s="458"/>
      <c r="D538" s="458"/>
      <c r="E538" s="458"/>
      <c r="F538" s="458"/>
      <c r="G538" s="458"/>
      <c r="H538" s="458"/>
      <c r="I538" s="458"/>
      <c r="J538" s="458"/>
      <c r="K538" s="458"/>
      <c r="L538" s="458"/>
      <c r="M538" s="458"/>
      <c r="N538" s="458"/>
      <c r="O538" s="458"/>
      <c r="P538" s="458"/>
      <c r="Q538" s="458"/>
      <c r="R538" s="458"/>
      <c r="S538" s="458"/>
      <c r="T538" s="458"/>
      <c r="U538" s="458"/>
      <c r="V538" s="458"/>
      <c r="W538" s="458"/>
    </row>
    <row r="539" spans="1:23" ht="15.75" customHeight="1">
      <c r="A539" s="458"/>
      <c r="B539" s="458"/>
      <c r="C539" s="458"/>
      <c r="D539" s="458"/>
      <c r="E539" s="458"/>
      <c r="F539" s="458"/>
      <c r="G539" s="458"/>
      <c r="H539" s="458"/>
      <c r="I539" s="458"/>
      <c r="J539" s="458"/>
      <c r="K539" s="458"/>
      <c r="L539" s="458"/>
      <c r="M539" s="458"/>
      <c r="N539" s="458"/>
      <c r="O539" s="458"/>
      <c r="P539" s="458"/>
      <c r="Q539" s="458"/>
      <c r="R539" s="458"/>
      <c r="S539" s="458"/>
      <c r="T539" s="458"/>
      <c r="U539" s="458"/>
      <c r="V539" s="458"/>
      <c r="W539" s="458"/>
    </row>
    <row r="540" spans="1:23" ht="15.75" customHeight="1">
      <c r="A540" s="458"/>
      <c r="B540" s="458"/>
      <c r="C540" s="458"/>
      <c r="D540" s="458"/>
      <c r="E540" s="458"/>
      <c r="F540" s="458"/>
      <c r="G540" s="458"/>
      <c r="H540" s="458"/>
      <c r="I540" s="458"/>
      <c r="J540" s="458"/>
      <c r="K540" s="458"/>
      <c r="L540" s="458"/>
      <c r="M540" s="458"/>
      <c r="N540" s="458"/>
      <c r="O540" s="458"/>
      <c r="P540" s="458"/>
      <c r="Q540" s="458"/>
      <c r="R540" s="458"/>
      <c r="S540" s="458"/>
      <c r="T540" s="458"/>
      <c r="U540" s="458"/>
      <c r="V540" s="458"/>
      <c r="W540" s="458"/>
    </row>
    <row r="541" spans="1:23" ht="15.75" customHeight="1">
      <c r="A541" s="458"/>
      <c r="B541" s="458"/>
      <c r="C541" s="458"/>
      <c r="D541" s="458"/>
      <c r="E541" s="458"/>
      <c r="F541" s="458"/>
      <c r="G541" s="458"/>
      <c r="H541" s="458"/>
      <c r="I541" s="458"/>
      <c r="J541" s="458"/>
      <c r="K541" s="458"/>
      <c r="L541" s="458"/>
      <c r="M541" s="458"/>
      <c r="N541" s="458"/>
      <c r="O541" s="458"/>
      <c r="P541" s="458"/>
      <c r="Q541" s="458"/>
      <c r="R541" s="458"/>
      <c r="S541" s="458"/>
      <c r="T541" s="458"/>
      <c r="U541" s="458"/>
      <c r="V541" s="458"/>
      <c r="W541" s="458"/>
    </row>
    <row r="542" spans="1:23" ht="15.75" customHeight="1">
      <c r="A542" s="458"/>
      <c r="B542" s="458"/>
      <c r="C542" s="458"/>
      <c r="D542" s="458"/>
      <c r="E542" s="458"/>
      <c r="F542" s="458"/>
      <c r="G542" s="458"/>
      <c r="H542" s="458"/>
      <c r="I542" s="458"/>
      <c r="J542" s="458"/>
      <c r="K542" s="458"/>
      <c r="L542" s="458"/>
      <c r="M542" s="458"/>
      <c r="N542" s="458"/>
      <c r="O542" s="458"/>
      <c r="P542" s="458"/>
      <c r="Q542" s="458"/>
      <c r="R542" s="458"/>
      <c r="S542" s="458"/>
      <c r="T542" s="458"/>
      <c r="U542" s="458"/>
      <c r="V542" s="458"/>
      <c r="W542" s="458"/>
    </row>
    <row r="543" spans="1:23" ht="15.75" customHeight="1">
      <c r="A543" s="458"/>
      <c r="B543" s="458"/>
      <c r="C543" s="458"/>
      <c r="D543" s="458"/>
      <c r="E543" s="458"/>
      <c r="F543" s="458"/>
      <c r="G543" s="458"/>
      <c r="H543" s="458"/>
      <c r="I543" s="458"/>
      <c r="J543" s="458"/>
      <c r="K543" s="458"/>
      <c r="L543" s="458"/>
      <c r="M543" s="458"/>
      <c r="N543" s="458"/>
      <c r="O543" s="458"/>
      <c r="P543" s="458"/>
      <c r="Q543" s="458"/>
      <c r="R543" s="458"/>
      <c r="S543" s="458"/>
      <c r="T543" s="458"/>
      <c r="U543" s="458"/>
      <c r="V543" s="458"/>
      <c r="W543" s="458"/>
    </row>
    <row r="544" spans="1:23" ht="15.75" customHeight="1">
      <c r="A544" s="458"/>
      <c r="B544" s="458"/>
      <c r="C544" s="458"/>
      <c r="D544" s="458"/>
      <c r="E544" s="458"/>
      <c r="F544" s="458"/>
      <c r="G544" s="458"/>
      <c r="H544" s="458"/>
      <c r="I544" s="458"/>
      <c r="J544" s="458"/>
      <c r="K544" s="458"/>
      <c r="L544" s="458"/>
      <c r="M544" s="458"/>
      <c r="N544" s="458"/>
      <c r="O544" s="458"/>
      <c r="P544" s="458"/>
      <c r="Q544" s="458"/>
      <c r="R544" s="458"/>
      <c r="S544" s="458"/>
      <c r="T544" s="458"/>
      <c r="U544" s="458"/>
      <c r="V544" s="458"/>
      <c r="W544" s="458"/>
    </row>
    <row r="545" spans="1:23" ht="15.75" customHeight="1">
      <c r="A545" s="458"/>
      <c r="B545" s="458"/>
      <c r="C545" s="458"/>
      <c r="D545" s="458"/>
      <c r="E545" s="458"/>
      <c r="F545" s="458"/>
      <c r="G545" s="458"/>
      <c r="H545" s="458"/>
      <c r="I545" s="458"/>
      <c r="J545" s="458"/>
      <c r="K545" s="458"/>
      <c r="L545" s="458"/>
      <c r="M545" s="458"/>
      <c r="N545" s="458"/>
      <c r="O545" s="458"/>
      <c r="P545" s="458"/>
      <c r="Q545" s="458"/>
      <c r="R545" s="458"/>
      <c r="S545" s="458"/>
      <c r="T545" s="458"/>
      <c r="U545" s="458"/>
      <c r="V545" s="458"/>
      <c r="W545" s="458"/>
    </row>
    <row r="546" spans="1:23" ht="15.75" customHeight="1">
      <c r="A546" s="458"/>
      <c r="B546" s="458"/>
      <c r="C546" s="458"/>
      <c r="D546" s="458"/>
      <c r="E546" s="458"/>
      <c r="F546" s="458"/>
      <c r="G546" s="458"/>
      <c r="H546" s="458"/>
      <c r="I546" s="458"/>
      <c r="J546" s="458"/>
      <c r="K546" s="458"/>
      <c r="L546" s="458"/>
      <c r="M546" s="458"/>
      <c r="N546" s="458"/>
      <c r="O546" s="458"/>
      <c r="P546" s="458"/>
      <c r="Q546" s="458"/>
      <c r="R546" s="458"/>
      <c r="S546" s="458"/>
      <c r="T546" s="458"/>
      <c r="U546" s="458"/>
      <c r="V546" s="458"/>
      <c r="W546" s="458"/>
    </row>
    <row r="547" spans="1:23" ht="15.75" customHeight="1">
      <c r="A547" s="458"/>
      <c r="B547" s="458"/>
      <c r="C547" s="458"/>
      <c r="D547" s="458"/>
      <c r="E547" s="458"/>
      <c r="F547" s="458"/>
      <c r="G547" s="458"/>
      <c r="H547" s="458"/>
      <c r="I547" s="458"/>
      <c r="J547" s="458"/>
      <c r="K547" s="458"/>
      <c r="L547" s="458"/>
      <c r="M547" s="458"/>
      <c r="N547" s="458"/>
      <c r="O547" s="458"/>
      <c r="P547" s="458"/>
      <c r="Q547" s="458"/>
      <c r="R547" s="458"/>
      <c r="S547" s="458"/>
      <c r="T547" s="458"/>
      <c r="U547" s="458"/>
      <c r="V547" s="458"/>
      <c r="W547" s="458"/>
    </row>
    <row r="548" spans="1:23" ht="15.75" customHeight="1">
      <c r="A548" s="458"/>
      <c r="B548" s="458"/>
      <c r="C548" s="458"/>
      <c r="D548" s="458"/>
      <c r="E548" s="458"/>
      <c r="F548" s="458"/>
      <c r="G548" s="458"/>
      <c r="H548" s="458"/>
      <c r="I548" s="458"/>
      <c r="J548" s="458"/>
      <c r="K548" s="458"/>
      <c r="L548" s="458"/>
      <c r="M548" s="458"/>
      <c r="N548" s="458"/>
      <c r="O548" s="458"/>
      <c r="P548" s="458"/>
      <c r="Q548" s="458"/>
      <c r="R548" s="458"/>
      <c r="S548" s="458"/>
      <c r="T548" s="458"/>
      <c r="U548" s="458"/>
      <c r="V548" s="458"/>
      <c r="W548" s="458"/>
    </row>
    <row r="549" spans="1:23" ht="15.75" customHeight="1">
      <c r="A549" s="458"/>
      <c r="B549" s="458"/>
      <c r="C549" s="458"/>
      <c r="D549" s="458"/>
      <c r="E549" s="458"/>
      <c r="F549" s="458"/>
      <c r="G549" s="458"/>
      <c r="H549" s="458"/>
      <c r="I549" s="458"/>
      <c r="J549" s="458"/>
      <c r="K549" s="458"/>
      <c r="L549" s="458"/>
      <c r="M549" s="458"/>
      <c r="N549" s="458"/>
      <c r="O549" s="458"/>
      <c r="P549" s="458"/>
      <c r="Q549" s="458"/>
      <c r="R549" s="458"/>
      <c r="S549" s="458"/>
      <c r="T549" s="458"/>
      <c r="U549" s="458"/>
      <c r="V549" s="458"/>
      <c r="W549" s="458"/>
    </row>
    <row r="550" spans="1:23" ht="15.75" customHeight="1">
      <c r="A550" s="458"/>
      <c r="B550" s="458"/>
      <c r="C550" s="458"/>
      <c r="D550" s="458"/>
      <c r="E550" s="458"/>
      <c r="F550" s="458"/>
      <c r="G550" s="458"/>
      <c r="H550" s="458"/>
      <c r="I550" s="458"/>
      <c r="J550" s="458"/>
      <c r="K550" s="458"/>
      <c r="L550" s="458"/>
      <c r="M550" s="458"/>
      <c r="N550" s="458"/>
      <c r="O550" s="458"/>
      <c r="P550" s="458"/>
      <c r="Q550" s="458"/>
      <c r="R550" s="458"/>
      <c r="S550" s="458"/>
      <c r="T550" s="458"/>
      <c r="U550" s="458"/>
      <c r="V550" s="458"/>
      <c r="W550" s="458"/>
    </row>
    <row r="551" spans="1:23" ht="15.75" customHeight="1">
      <c r="A551" s="458"/>
      <c r="B551" s="458"/>
      <c r="C551" s="458"/>
      <c r="D551" s="458"/>
      <c r="E551" s="458"/>
      <c r="F551" s="458"/>
      <c r="G551" s="458"/>
      <c r="H551" s="458"/>
      <c r="I551" s="458"/>
      <c r="J551" s="458"/>
      <c r="K551" s="458"/>
      <c r="L551" s="458"/>
      <c r="M551" s="458"/>
      <c r="N551" s="458"/>
      <c r="O551" s="458"/>
      <c r="P551" s="458"/>
      <c r="Q551" s="458"/>
      <c r="R551" s="458"/>
      <c r="S551" s="458"/>
      <c r="T551" s="458"/>
      <c r="U551" s="458"/>
      <c r="V551" s="458"/>
      <c r="W551" s="458"/>
    </row>
    <row r="552" spans="1:23" ht="15.75" customHeight="1">
      <c r="A552" s="458"/>
      <c r="B552" s="458"/>
      <c r="C552" s="458"/>
      <c r="D552" s="458"/>
      <c r="E552" s="458"/>
      <c r="F552" s="458"/>
      <c r="G552" s="458"/>
      <c r="H552" s="458"/>
      <c r="I552" s="458"/>
      <c r="J552" s="458"/>
      <c r="K552" s="458"/>
      <c r="L552" s="458"/>
      <c r="M552" s="458"/>
      <c r="N552" s="458"/>
      <c r="O552" s="458"/>
      <c r="P552" s="458"/>
      <c r="Q552" s="458"/>
      <c r="R552" s="458"/>
      <c r="S552" s="458"/>
      <c r="T552" s="458"/>
      <c r="U552" s="458"/>
      <c r="V552" s="458"/>
      <c r="W552" s="458"/>
    </row>
    <row r="553" spans="1:23" ht="15.75" customHeight="1">
      <c r="A553" s="458"/>
      <c r="B553" s="458"/>
      <c r="C553" s="458"/>
      <c r="D553" s="458"/>
      <c r="E553" s="458"/>
      <c r="F553" s="458"/>
      <c r="G553" s="458"/>
      <c r="H553" s="458"/>
      <c r="I553" s="458"/>
      <c r="J553" s="458"/>
      <c r="K553" s="458"/>
      <c r="L553" s="458"/>
      <c r="M553" s="458"/>
      <c r="N553" s="458"/>
      <c r="O553" s="458"/>
      <c r="P553" s="458"/>
      <c r="Q553" s="458"/>
      <c r="R553" s="458"/>
      <c r="S553" s="458"/>
      <c r="T553" s="458"/>
      <c r="U553" s="458"/>
      <c r="V553" s="458"/>
      <c r="W553" s="458"/>
    </row>
    <row r="554" spans="1:23" ht="15.75" customHeight="1">
      <c r="A554" s="458"/>
      <c r="B554" s="458"/>
      <c r="C554" s="458"/>
      <c r="D554" s="458"/>
      <c r="E554" s="458"/>
      <c r="F554" s="458"/>
      <c r="G554" s="458"/>
      <c r="H554" s="458"/>
      <c r="I554" s="458"/>
      <c r="J554" s="458"/>
      <c r="K554" s="458"/>
      <c r="L554" s="458"/>
      <c r="M554" s="458"/>
      <c r="N554" s="458"/>
      <c r="O554" s="458"/>
      <c r="P554" s="458"/>
      <c r="Q554" s="458"/>
      <c r="R554" s="458"/>
      <c r="S554" s="458"/>
      <c r="T554" s="458"/>
      <c r="U554" s="458"/>
      <c r="V554" s="458"/>
      <c r="W554" s="458"/>
    </row>
    <row r="555" spans="1:23" ht="15.75" customHeight="1">
      <c r="A555" s="458"/>
      <c r="B555" s="458"/>
      <c r="C555" s="458"/>
      <c r="D555" s="458"/>
      <c r="E555" s="458"/>
      <c r="F555" s="458"/>
      <c r="G555" s="458"/>
      <c r="H555" s="458"/>
      <c r="I555" s="458"/>
      <c r="J555" s="458"/>
      <c r="K555" s="458"/>
      <c r="L555" s="458"/>
      <c r="M555" s="458"/>
      <c r="N555" s="458"/>
      <c r="O555" s="458"/>
      <c r="P555" s="458"/>
      <c r="Q555" s="458"/>
      <c r="R555" s="458"/>
      <c r="S555" s="458"/>
      <c r="T555" s="458"/>
      <c r="U555" s="458"/>
      <c r="V555" s="458"/>
      <c r="W555" s="458"/>
    </row>
    <row r="556" spans="1:23" ht="15.75" customHeight="1">
      <c r="A556" s="458"/>
      <c r="B556" s="458"/>
      <c r="C556" s="458"/>
      <c r="D556" s="458"/>
      <c r="E556" s="458"/>
      <c r="F556" s="458"/>
      <c r="G556" s="458"/>
      <c r="H556" s="458"/>
      <c r="I556" s="458"/>
      <c r="J556" s="458"/>
      <c r="K556" s="458"/>
      <c r="L556" s="458"/>
      <c r="M556" s="458"/>
      <c r="N556" s="458"/>
      <c r="O556" s="458"/>
      <c r="P556" s="458"/>
      <c r="Q556" s="458"/>
      <c r="R556" s="458"/>
      <c r="S556" s="458"/>
      <c r="T556" s="458"/>
      <c r="U556" s="458"/>
      <c r="V556" s="458"/>
      <c r="W556" s="458"/>
    </row>
    <row r="557" spans="1:23" ht="15.75" customHeight="1">
      <c r="A557" s="458"/>
      <c r="B557" s="458"/>
      <c r="C557" s="458"/>
      <c r="D557" s="458"/>
      <c r="E557" s="458"/>
      <c r="F557" s="458"/>
      <c r="G557" s="458"/>
      <c r="H557" s="458"/>
      <c r="I557" s="458"/>
      <c r="J557" s="458"/>
      <c r="K557" s="458"/>
      <c r="L557" s="458"/>
      <c r="M557" s="458"/>
      <c r="N557" s="458"/>
      <c r="O557" s="458"/>
      <c r="P557" s="458"/>
      <c r="Q557" s="458"/>
      <c r="R557" s="458"/>
      <c r="S557" s="458"/>
      <c r="T557" s="458"/>
      <c r="U557" s="458"/>
      <c r="V557" s="458"/>
      <c r="W557" s="458"/>
    </row>
    <row r="558" spans="1:23" ht="15.75" customHeight="1">
      <c r="A558" s="458"/>
      <c r="B558" s="458"/>
      <c r="C558" s="458"/>
      <c r="D558" s="458"/>
      <c r="E558" s="458"/>
      <c r="F558" s="458"/>
      <c r="G558" s="458"/>
      <c r="H558" s="458"/>
      <c r="I558" s="458"/>
      <c r="J558" s="458"/>
      <c r="K558" s="458"/>
      <c r="L558" s="458"/>
      <c r="M558" s="458"/>
      <c r="N558" s="458"/>
      <c r="O558" s="458"/>
      <c r="P558" s="458"/>
      <c r="Q558" s="458"/>
      <c r="R558" s="458"/>
      <c r="S558" s="458"/>
      <c r="T558" s="458"/>
      <c r="U558" s="458"/>
      <c r="V558" s="458"/>
      <c r="W558" s="458"/>
    </row>
    <row r="559" spans="1:23" ht="15.75" customHeight="1">
      <c r="A559" s="458"/>
      <c r="B559" s="458"/>
      <c r="C559" s="458"/>
      <c r="D559" s="458"/>
      <c r="E559" s="458"/>
      <c r="F559" s="458"/>
      <c r="G559" s="458"/>
      <c r="H559" s="458"/>
      <c r="I559" s="458"/>
      <c r="J559" s="458"/>
      <c r="K559" s="458"/>
      <c r="L559" s="458"/>
      <c r="M559" s="458"/>
      <c r="N559" s="458"/>
      <c r="O559" s="458"/>
      <c r="P559" s="458"/>
      <c r="Q559" s="458"/>
      <c r="R559" s="458"/>
      <c r="S559" s="458"/>
      <c r="T559" s="458"/>
      <c r="U559" s="458"/>
      <c r="V559" s="458"/>
      <c r="W559" s="458"/>
    </row>
    <row r="560" spans="1:23" ht="15.75" customHeight="1">
      <c r="A560" s="458"/>
      <c r="B560" s="458"/>
      <c r="C560" s="458"/>
      <c r="D560" s="458"/>
      <c r="E560" s="458"/>
      <c r="F560" s="458"/>
      <c r="G560" s="458"/>
      <c r="H560" s="458"/>
      <c r="I560" s="458"/>
      <c r="J560" s="458"/>
      <c r="K560" s="458"/>
      <c r="L560" s="458"/>
      <c r="M560" s="458"/>
      <c r="N560" s="458"/>
      <c r="O560" s="458"/>
      <c r="P560" s="458"/>
      <c r="Q560" s="458"/>
      <c r="R560" s="458"/>
      <c r="S560" s="458"/>
      <c r="T560" s="458"/>
      <c r="U560" s="458"/>
      <c r="V560" s="458"/>
      <c r="W560" s="458"/>
    </row>
    <row r="561" spans="1:23" ht="15.75" customHeight="1">
      <c r="A561" s="458"/>
      <c r="B561" s="458"/>
      <c r="C561" s="458"/>
      <c r="D561" s="458"/>
      <c r="E561" s="458"/>
      <c r="F561" s="458"/>
      <c r="G561" s="458"/>
      <c r="H561" s="458"/>
      <c r="I561" s="458"/>
      <c r="J561" s="458"/>
      <c r="K561" s="458"/>
      <c r="L561" s="458"/>
      <c r="M561" s="458"/>
      <c r="N561" s="458"/>
      <c r="O561" s="458"/>
      <c r="P561" s="458"/>
      <c r="Q561" s="458"/>
      <c r="R561" s="458"/>
      <c r="S561" s="458"/>
      <c r="T561" s="458"/>
      <c r="U561" s="458"/>
      <c r="V561" s="458"/>
      <c r="W561" s="458"/>
    </row>
    <row r="562" spans="1:23" ht="15.75" customHeight="1">
      <c r="A562" s="458"/>
      <c r="B562" s="458"/>
      <c r="C562" s="458"/>
      <c r="D562" s="458"/>
      <c r="E562" s="458"/>
      <c r="F562" s="458"/>
      <c r="G562" s="458"/>
      <c r="H562" s="458"/>
      <c r="I562" s="458"/>
      <c r="J562" s="458"/>
      <c r="K562" s="458"/>
      <c r="L562" s="458"/>
      <c r="M562" s="458"/>
      <c r="N562" s="458"/>
      <c r="O562" s="458"/>
      <c r="P562" s="458"/>
      <c r="Q562" s="458"/>
      <c r="R562" s="458"/>
      <c r="S562" s="458"/>
      <c r="T562" s="458"/>
      <c r="U562" s="458"/>
      <c r="V562" s="458"/>
      <c r="W562" s="458"/>
    </row>
    <row r="563" spans="1:23" ht="15.75" customHeight="1">
      <c r="A563" s="458"/>
      <c r="B563" s="458"/>
      <c r="C563" s="458"/>
      <c r="D563" s="458"/>
      <c r="E563" s="458"/>
      <c r="F563" s="458"/>
      <c r="G563" s="458"/>
      <c r="H563" s="458"/>
      <c r="I563" s="458"/>
      <c r="J563" s="458"/>
      <c r="K563" s="458"/>
      <c r="L563" s="458"/>
      <c r="M563" s="458"/>
      <c r="N563" s="458"/>
      <c r="O563" s="458"/>
      <c r="P563" s="458"/>
      <c r="Q563" s="458"/>
      <c r="R563" s="458"/>
      <c r="S563" s="458"/>
      <c r="T563" s="458"/>
      <c r="U563" s="458"/>
      <c r="V563" s="458"/>
      <c r="W563" s="458"/>
    </row>
    <row r="564" spans="1:23" ht="15.75" customHeight="1">
      <c r="A564" s="458"/>
      <c r="B564" s="458"/>
      <c r="C564" s="458"/>
      <c r="D564" s="458"/>
      <c r="E564" s="458"/>
      <c r="F564" s="458"/>
      <c r="G564" s="458"/>
      <c r="H564" s="458"/>
      <c r="I564" s="458"/>
      <c r="J564" s="458"/>
      <c r="K564" s="458"/>
      <c r="L564" s="458"/>
      <c r="M564" s="458"/>
      <c r="N564" s="458"/>
      <c r="O564" s="458"/>
      <c r="P564" s="458"/>
      <c r="Q564" s="458"/>
      <c r="R564" s="458"/>
      <c r="S564" s="458"/>
      <c r="T564" s="458"/>
      <c r="U564" s="458"/>
      <c r="V564" s="458"/>
      <c r="W564" s="458"/>
    </row>
    <row r="565" spans="1:23" ht="15.75" customHeight="1">
      <c r="A565" s="458"/>
      <c r="B565" s="458"/>
      <c r="C565" s="458"/>
      <c r="D565" s="458"/>
      <c r="E565" s="458"/>
      <c r="F565" s="458"/>
      <c r="G565" s="458"/>
      <c r="H565" s="458"/>
      <c r="I565" s="458"/>
      <c r="J565" s="458"/>
      <c r="K565" s="458"/>
      <c r="L565" s="458"/>
      <c r="M565" s="458"/>
      <c r="N565" s="458"/>
      <c r="O565" s="458"/>
      <c r="P565" s="458"/>
      <c r="Q565" s="458"/>
      <c r="R565" s="458"/>
      <c r="S565" s="458"/>
      <c r="T565" s="458"/>
      <c r="U565" s="458"/>
      <c r="V565" s="458"/>
      <c r="W565" s="458"/>
    </row>
    <row r="566" spans="1:23" ht="15.75" customHeight="1">
      <c r="A566" s="458"/>
      <c r="B566" s="458"/>
      <c r="C566" s="458"/>
      <c r="D566" s="458"/>
      <c r="E566" s="458"/>
      <c r="F566" s="458"/>
      <c r="G566" s="458"/>
      <c r="H566" s="458"/>
      <c r="I566" s="458"/>
      <c r="J566" s="458"/>
      <c r="K566" s="458"/>
      <c r="L566" s="458"/>
      <c r="M566" s="458"/>
      <c r="N566" s="458"/>
      <c r="O566" s="458"/>
      <c r="P566" s="458"/>
      <c r="Q566" s="458"/>
      <c r="R566" s="458"/>
      <c r="S566" s="458"/>
      <c r="T566" s="458"/>
      <c r="U566" s="458"/>
      <c r="V566" s="458"/>
      <c r="W566" s="458"/>
    </row>
    <row r="567" spans="1:23" ht="15.75" customHeight="1">
      <c r="A567" s="458"/>
      <c r="B567" s="458"/>
      <c r="C567" s="458"/>
      <c r="D567" s="458"/>
      <c r="E567" s="458"/>
      <c r="F567" s="458"/>
      <c r="G567" s="458"/>
      <c r="H567" s="458"/>
      <c r="I567" s="458"/>
      <c r="J567" s="458"/>
      <c r="K567" s="458"/>
      <c r="L567" s="458"/>
      <c r="M567" s="458"/>
      <c r="N567" s="458"/>
      <c r="O567" s="458"/>
      <c r="P567" s="458"/>
      <c r="Q567" s="458"/>
      <c r="R567" s="458"/>
      <c r="S567" s="458"/>
      <c r="T567" s="458"/>
      <c r="U567" s="458"/>
      <c r="V567" s="458"/>
      <c r="W567" s="458"/>
    </row>
    <row r="568" spans="1:23" ht="15.75" customHeight="1">
      <c r="A568" s="458"/>
      <c r="B568" s="458"/>
      <c r="C568" s="458"/>
      <c r="D568" s="458"/>
      <c r="E568" s="458"/>
      <c r="F568" s="458"/>
      <c r="G568" s="458"/>
      <c r="H568" s="458"/>
      <c r="I568" s="458"/>
      <c r="J568" s="458"/>
      <c r="K568" s="458"/>
      <c r="L568" s="458"/>
      <c r="M568" s="458"/>
      <c r="N568" s="458"/>
      <c r="O568" s="458"/>
      <c r="P568" s="458"/>
      <c r="Q568" s="458"/>
      <c r="R568" s="458"/>
      <c r="S568" s="458"/>
      <c r="T568" s="458"/>
      <c r="U568" s="458"/>
      <c r="V568" s="458"/>
      <c r="W568" s="458"/>
    </row>
    <row r="569" spans="1:23" ht="15.75" customHeight="1">
      <c r="A569" s="458"/>
      <c r="B569" s="458"/>
      <c r="C569" s="458"/>
      <c r="D569" s="458"/>
      <c r="E569" s="458"/>
      <c r="F569" s="458"/>
      <c r="G569" s="458"/>
      <c r="H569" s="458"/>
      <c r="I569" s="458"/>
      <c r="J569" s="458"/>
      <c r="K569" s="458"/>
      <c r="L569" s="458"/>
      <c r="M569" s="458"/>
      <c r="N569" s="458"/>
      <c r="O569" s="458"/>
      <c r="P569" s="458"/>
      <c r="Q569" s="458"/>
      <c r="R569" s="458"/>
      <c r="S569" s="458"/>
      <c r="T569" s="458"/>
      <c r="U569" s="458"/>
      <c r="V569" s="458"/>
      <c r="W569" s="458"/>
    </row>
    <row r="570" spans="1:23" ht="15.75" customHeight="1">
      <c r="A570" s="458"/>
      <c r="B570" s="458"/>
      <c r="C570" s="458"/>
      <c r="D570" s="458"/>
      <c r="E570" s="458"/>
      <c r="F570" s="458"/>
      <c r="G570" s="458"/>
      <c r="H570" s="458"/>
      <c r="I570" s="458"/>
      <c r="J570" s="458"/>
      <c r="K570" s="458"/>
      <c r="L570" s="458"/>
      <c r="M570" s="458"/>
      <c r="N570" s="458"/>
      <c r="O570" s="458"/>
      <c r="P570" s="458"/>
      <c r="Q570" s="458"/>
      <c r="R570" s="458"/>
      <c r="S570" s="458"/>
      <c r="T570" s="458"/>
      <c r="U570" s="458"/>
      <c r="V570" s="458"/>
      <c r="W570" s="458"/>
    </row>
    <row r="571" spans="1:23" ht="15.75" customHeight="1">
      <c r="A571" s="458"/>
      <c r="B571" s="458"/>
      <c r="C571" s="458"/>
      <c r="D571" s="458"/>
      <c r="E571" s="458"/>
      <c r="F571" s="458"/>
      <c r="G571" s="458"/>
      <c r="H571" s="458"/>
      <c r="I571" s="458"/>
      <c r="J571" s="458"/>
      <c r="K571" s="458"/>
      <c r="L571" s="458"/>
      <c r="M571" s="458"/>
      <c r="N571" s="458"/>
      <c r="O571" s="458"/>
      <c r="P571" s="458"/>
      <c r="Q571" s="458"/>
      <c r="R571" s="458"/>
      <c r="S571" s="458"/>
      <c r="T571" s="458"/>
      <c r="U571" s="458"/>
      <c r="V571" s="458"/>
      <c r="W571" s="458"/>
    </row>
    <row r="572" spans="1:23" ht="15.75" customHeight="1">
      <c r="A572" s="458"/>
      <c r="B572" s="458"/>
      <c r="C572" s="458"/>
      <c r="D572" s="458"/>
      <c r="E572" s="458"/>
      <c r="F572" s="458"/>
      <c r="G572" s="458"/>
      <c r="H572" s="458"/>
      <c r="I572" s="458"/>
      <c r="J572" s="458"/>
      <c r="K572" s="458"/>
      <c r="L572" s="458"/>
      <c r="M572" s="458"/>
      <c r="N572" s="458"/>
      <c r="O572" s="458"/>
      <c r="P572" s="458"/>
      <c r="Q572" s="458"/>
      <c r="R572" s="458"/>
      <c r="S572" s="458"/>
      <c r="T572" s="458"/>
      <c r="U572" s="458"/>
      <c r="V572" s="458"/>
      <c r="W572" s="458"/>
    </row>
    <row r="573" spans="1:23" ht="15.75" customHeight="1">
      <c r="A573" s="458"/>
      <c r="B573" s="458"/>
      <c r="C573" s="458"/>
      <c r="D573" s="458"/>
      <c r="E573" s="458"/>
      <c r="F573" s="458"/>
      <c r="G573" s="458"/>
      <c r="H573" s="458"/>
      <c r="I573" s="458"/>
      <c r="J573" s="458"/>
      <c r="K573" s="458"/>
      <c r="L573" s="458"/>
      <c r="M573" s="458"/>
      <c r="N573" s="458"/>
      <c r="O573" s="458"/>
      <c r="P573" s="458"/>
      <c r="Q573" s="458"/>
      <c r="R573" s="458"/>
      <c r="S573" s="458"/>
      <c r="T573" s="458"/>
      <c r="U573" s="458"/>
      <c r="V573" s="458"/>
      <c r="W573" s="458"/>
    </row>
    <row r="574" spans="1:23" ht="15.75" customHeight="1">
      <c r="A574" s="458"/>
      <c r="B574" s="458"/>
      <c r="C574" s="458"/>
      <c r="D574" s="458"/>
      <c r="E574" s="458"/>
      <c r="F574" s="458"/>
      <c r="G574" s="458"/>
      <c r="H574" s="458"/>
      <c r="I574" s="458"/>
      <c r="J574" s="458"/>
      <c r="K574" s="458"/>
      <c r="L574" s="458"/>
      <c r="M574" s="458"/>
      <c r="N574" s="458"/>
      <c r="O574" s="458"/>
      <c r="P574" s="458"/>
      <c r="Q574" s="458"/>
      <c r="R574" s="458"/>
      <c r="S574" s="458"/>
      <c r="T574" s="458"/>
      <c r="U574" s="458"/>
      <c r="V574" s="458"/>
      <c r="W574" s="458"/>
    </row>
    <row r="575" spans="1:23" ht="15.75" customHeight="1">
      <c r="A575" s="458"/>
      <c r="B575" s="458"/>
      <c r="C575" s="458"/>
      <c r="D575" s="458"/>
      <c r="E575" s="458"/>
      <c r="F575" s="458"/>
      <c r="G575" s="458"/>
      <c r="H575" s="458"/>
      <c r="I575" s="458"/>
      <c r="J575" s="458"/>
      <c r="K575" s="458"/>
      <c r="L575" s="458"/>
      <c r="M575" s="458"/>
      <c r="N575" s="458"/>
      <c r="O575" s="458"/>
      <c r="P575" s="458"/>
      <c r="Q575" s="458"/>
      <c r="R575" s="458"/>
      <c r="S575" s="458"/>
      <c r="T575" s="458"/>
      <c r="U575" s="458"/>
      <c r="V575" s="458"/>
      <c r="W575" s="458"/>
    </row>
    <row r="576" spans="1:23" ht="15.75" customHeight="1">
      <c r="A576" s="458"/>
      <c r="B576" s="458"/>
      <c r="C576" s="458"/>
      <c r="D576" s="458"/>
      <c r="E576" s="458"/>
      <c r="F576" s="458"/>
      <c r="G576" s="458"/>
      <c r="H576" s="458"/>
      <c r="I576" s="458"/>
      <c r="J576" s="458"/>
      <c r="K576" s="458"/>
      <c r="L576" s="458"/>
      <c r="M576" s="458"/>
      <c r="N576" s="458"/>
      <c r="O576" s="458"/>
      <c r="P576" s="458"/>
      <c r="Q576" s="458"/>
      <c r="R576" s="458"/>
      <c r="S576" s="458"/>
      <c r="T576" s="458"/>
      <c r="U576" s="458"/>
      <c r="V576" s="458"/>
      <c r="W576" s="458"/>
    </row>
    <row r="577" spans="1:23" ht="15.75" customHeight="1">
      <c r="A577" s="458"/>
      <c r="B577" s="458"/>
      <c r="C577" s="458"/>
      <c r="D577" s="458"/>
      <c r="E577" s="458"/>
      <c r="F577" s="458"/>
      <c r="G577" s="458"/>
      <c r="H577" s="458"/>
      <c r="I577" s="458"/>
      <c r="J577" s="458"/>
      <c r="K577" s="458"/>
      <c r="L577" s="458"/>
      <c r="M577" s="458"/>
      <c r="N577" s="458"/>
      <c r="O577" s="458"/>
      <c r="P577" s="458"/>
      <c r="Q577" s="458"/>
      <c r="R577" s="458"/>
      <c r="S577" s="458"/>
      <c r="T577" s="458"/>
      <c r="U577" s="458"/>
      <c r="V577" s="458"/>
      <c r="W577" s="458"/>
    </row>
    <row r="578" spans="1:23" ht="15.75" customHeight="1">
      <c r="A578" s="458"/>
      <c r="B578" s="458"/>
      <c r="C578" s="458"/>
      <c r="D578" s="458"/>
      <c r="E578" s="458"/>
      <c r="F578" s="458"/>
      <c r="G578" s="458"/>
      <c r="H578" s="458"/>
      <c r="I578" s="458"/>
      <c r="J578" s="458"/>
      <c r="K578" s="458"/>
      <c r="L578" s="458"/>
      <c r="M578" s="458"/>
      <c r="N578" s="458"/>
      <c r="O578" s="458"/>
      <c r="P578" s="458"/>
      <c r="Q578" s="458"/>
      <c r="R578" s="458"/>
      <c r="S578" s="458"/>
      <c r="T578" s="458"/>
      <c r="U578" s="458"/>
      <c r="V578" s="458"/>
      <c r="W578" s="458"/>
    </row>
    <row r="579" spans="1:23" ht="15.75" customHeight="1">
      <c r="A579" s="458"/>
      <c r="B579" s="458"/>
      <c r="C579" s="458"/>
      <c r="D579" s="458"/>
      <c r="E579" s="458"/>
      <c r="F579" s="458"/>
      <c r="G579" s="458"/>
      <c r="H579" s="458"/>
      <c r="I579" s="458"/>
      <c r="J579" s="458"/>
      <c r="K579" s="458"/>
      <c r="L579" s="458"/>
      <c r="M579" s="458"/>
      <c r="N579" s="458"/>
      <c r="O579" s="458"/>
      <c r="P579" s="458"/>
      <c r="Q579" s="458"/>
      <c r="R579" s="458"/>
      <c r="S579" s="458"/>
      <c r="T579" s="458"/>
      <c r="U579" s="458"/>
      <c r="V579" s="458"/>
      <c r="W579" s="458"/>
    </row>
    <row r="580" spans="1:23" ht="15.75" customHeight="1">
      <c r="A580" s="458"/>
      <c r="B580" s="458"/>
      <c r="C580" s="458"/>
      <c r="D580" s="458"/>
      <c r="E580" s="458"/>
      <c r="F580" s="458"/>
      <c r="G580" s="458"/>
      <c r="H580" s="458"/>
      <c r="I580" s="458"/>
      <c r="J580" s="458"/>
      <c r="K580" s="458"/>
      <c r="L580" s="458"/>
      <c r="M580" s="458"/>
      <c r="N580" s="458"/>
      <c r="O580" s="458"/>
      <c r="P580" s="458"/>
      <c r="Q580" s="458"/>
      <c r="R580" s="458"/>
      <c r="S580" s="458"/>
      <c r="T580" s="458"/>
      <c r="U580" s="458"/>
      <c r="V580" s="458"/>
      <c r="W580" s="458"/>
    </row>
    <row r="581" spans="1:23" ht="15.75" customHeight="1">
      <c r="A581" s="458"/>
      <c r="B581" s="458"/>
      <c r="C581" s="458"/>
      <c r="D581" s="458"/>
      <c r="E581" s="458"/>
      <c r="F581" s="458"/>
      <c r="G581" s="458"/>
      <c r="H581" s="458"/>
      <c r="I581" s="458"/>
      <c r="J581" s="458"/>
      <c r="K581" s="458"/>
      <c r="L581" s="458"/>
      <c r="M581" s="458"/>
      <c r="N581" s="458"/>
      <c r="O581" s="458"/>
      <c r="P581" s="458"/>
      <c r="Q581" s="458"/>
      <c r="R581" s="458"/>
      <c r="S581" s="458"/>
      <c r="T581" s="458"/>
      <c r="U581" s="458"/>
      <c r="V581" s="458"/>
      <c r="W581" s="458"/>
    </row>
    <row r="582" spans="1:23" ht="15.75" customHeight="1">
      <c r="A582" s="458"/>
      <c r="B582" s="458"/>
      <c r="C582" s="458"/>
      <c r="D582" s="458"/>
      <c r="E582" s="458"/>
      <c r="F582" s="458"/>
      <c r="G582" s="458"/>
      <c r="H582" s="458"/>
      <c r="I582" s="458"/>
      <c r="J582" s="458"/>
      <c r="K582" s="458"/>
      <c r="L582" s="458"/>
      <c r="M582" s="458"/>
      <c r="N582" s="458"/>
      <c r="O582" s="458"/>
      <c r="P582" s="458"/>
      <c r="Q582" s="458"/>
      <c r="R582" s="458"/>
      <c r="S582" s="458"/>
      <c r="T582" s="458"/>
      <c r="U582" s="458"/>
      <c r="V582" s="458"/>
      <c r="W582" s="458"/>
    </row>
    <row r="583" spans="1:23" ht="15.75" customHeight="1">
      <c r="A583" s="458"/>
      <c r="B583" s="458"/>
      <c r="C583" s="458"/>
      <c r="D583" s="458"/>
      <c r="E583" s="458"/>
      <c r="F583" s="458"/>
      <c r="G583" s="458"/>
      <c r="H583" s="458"/>
      <c r="I583" s="458"/>
      <c r="J583" s="458"/>
      <c r="K583" s="458"/>
      <c r="L583" s="458"/>
      <c r="M583" s="458"/>
      <c r="N583" s="458"/>
      <c r="O583" s="458"/>
      <c r="P583" s="458"/>
      <c r="Q583" s="458"/>
      <c r="R583" s="458"/>
      <c r="S583" s="458"/>
      <c r="T583" s="458"/>
      <c r="U583" s="458"/>
      <c r="V583" s="458"/>
      <c r="W583" s="458"/>
    </row>
    <row r="584" spans="1:23" ht="15.75" customHeight="1">
      <c r="A584" s="458"/>
      <c r="B584" s="458"/>
      <c r="C584" s="458"/>
      <c r="D584" s="458"/>
      <c r="E584" s="458"/>
      <c r="F584" s="458"/>
      <c r="G584" s="458"/>
      <c r="H584" s="458"/>
      <c r="I584" s="458"/>
      <c r="J584" s="458"/>
      <c r="K584" s="458"/>
      <c r="L584" s="458"/>
      <c r="M584" s="458"/>
      <c r="N584" s="458"/>
      <c r="O584" s="458"/>
      <c r="P584" s="458"/>
      <c r="Q584" s="458"/>
      <c r="R584" s="458"/>
      <c r="S584" s="458"/>
      <c r="T584" s="458"/>
      <c r="U584" s="458"/>
      <c r="V584" s="458"/>
      <c r="W584" s="458"/>
    </row>
    <row r="585" spans="1:23" ht="15.75" customHeight="1">
      <c r="A585" s="458"/>
      <c r="B585" s="458"/>
      <c r="C585" s="458"/>
      <c r="D585" s="458"/>
      <c r="E585" s="458"/>
      <c r="F585" s="458"/>
      <c r="G585" s="458"/>
      <c r="H585" s="458"/>
      <c r="I585" s="458"/>
      <c r="J585" s="458"/>
      <c r="K585" s="458"/>
      <c r="L585" s="458"/>
      <c r="M585" s="458"/>
      <c r="N585" s="458"/>
      <c r="O585" s="458"/>
      <c r="P585" s="458"/>
      <c r="Q585" s="458"/>
      <c r="R585" s="458"/>
      <c r="S585" s="458"/>
      <c r="T585" s="458"/>
      <c r="U585" s="458"/>
      <c r="V585" s="458"/>
      <c r="W585" s="458"/>
    </row>
    <row r="586" spans="1:23" ht="15.75" customHeight="1">
      <c r="A586" s="458"/>
      <c r="B586" s="458"/>
      <c r="C586" s="458"/>
      <c r="D586" s="458"/>
      <c r="E586" s="458"/>
      <c r="F586" s="458"/>
      <c r="G586" s="458"/>
      <c r="H586" s="458"/>
      <c r="I586" s="458"/>
      <c r="J586" s="458"/>
      <c r="K586" s="458"/>
      <c r="L586" s="458"/>
      <c r="M586" s="458"/>
      <c r="N586" s="458"/>
      <c r="O586" s="458"/>
      <c r="P586" s="458"/>
      <c r="Q586" s="458"/>
      <c r="R586" s="458"/>
      <c r="S586" s="458"/>
      <c r="T586" s="458"/>
      <c r="U586" s="458"/>
      <c r="V586" s="458"/>
      <c r="W586" s="458"/>
    </row>
    <row r="587" spans="1:23" ht="15.75" customHeight="1">
      <c r="A587" s="458"/>
      <c r="B587" s="458"/>
      <c r="C587" s="458"/>
      <c r="D587" s="458"/>
      <c r="E587" s="458"/>
      <c r="F587" s="458"/>
      <c r="G587" s="458"/>
      <c r="H587" s="458"/>
      <c r="I587" s="458"/>
      <c r="J587" s="458"/>
      <c r="K587" s="458"/>
      <c r="L587" s="458"/>
      <c r="M587" s="458"/>
      <c r="N587" s="458"/>
      <c r="O587" s="458"/>
      <c r="P587" s="458"/>
      <c r="Q587" s="458"/>
      <c r="R587" s="458"/>
      <c r="S587" s="458"/>
      <c r="T587" s="458"/>
      <c r="U587" s="458"/>
      <c r="V587" s="458"/>
      <c r="W587" s="458"/>
    </row>
    <row r="588" spans="1:23" ht="15.75" customHeight="1">
      <c r="A588" s="458"/>
      <c r="B588" s="458"/>
      <c r="C588" s="458"/>
      <c r="D588" s="458"/>
      <c r="E588" s="458"/>
      <c r="F588" s="458"/>
      <c r="G588" s="458"/>
      <c r="H588" s="458"/>
      <c r="I588" s="458"/>
      <c r="J588" s="458"/>
      <c r="K588" s="458"/>
      <c r="L588" s="458"/>
      <c r="M588" s="458"/>
      <c r="N588" s="458"/>
      <c r="O588" s="458"/>
      <c r="P588" s="458"/>
      <c r="Q588" s="458"/>
      <c r="R588" s="458"/>
      <c r="S588" s="458"/>
      <c r="T588" s="458"/>
      <c r="U588" s="458"/>
      <c r="V588" s="458"/>
      <c r="W588" s="458"/>
    </row>
    <row r="589" spans="1:23" ht="15.75" customHeight="1">
      <c r="A589" s="458"/>
      <c r="B589" s="458"/>
      <c r="C589" s="458"/>
      <c r="D589" s="458"/>
      <c r="E589" s="458"/>
      <c r="F589" s="458"/>
      <c r="G589" s="458"/>
      <c r="H589" s="458"/>
      <c r="I589" s="458"/>
      <c r="J589" s="458"/>
      <c r="K589" s="458"/>
      <c r="L589" s="458"/>
      <c r="M589" s="458"/>
      <c r="N589" s="458"/>
      <c r="O589" s="458"/>
      <c r="P589" s="458"/>
      <c r="Q589" s="458"/>
      <c r="R589" s="458"/>
      <c r="S589" s="458"/>
      <c r="T589" s="458"/>
      <c r="U589" s="458"/>
      <c r="V589" s="458"/>
      <c r="W589" s="458"/>
    </row>
    <row r="590" spans="1:23" ht="15.75" customHeight="1">
      <c r="A590" s="458"/>
      <c r="B590" s="458"/>
      <c r="C590" s="458"/>
      <c r="D590" s="458"/>
      <c r="E590" s="458"/>
      <c r="F590" s="458"/>
      <c r="G590" s="458"/>
      <c r="H590" s="458"/>
      <c r="I590" s="458"/>
      <c r="J590" s="458"/>
      <c r="K590" s="458"/>
      <c r="L590" s="458"/>
      <c r="M590" s="458"/>
      <c r="N590" s="458"/>
      <c r="O590" s="458"/>
      <c r="P590" s="458"/>
      <c r="Q590" s="458"/>
      <c r="R590" s="458"/>
      <c r="S590" s="458"/>
      <c r="T590" s="458"/>
      <c r="U590" s="458"/>
      <c r="V590" s="458"/>
      <c r="W590" s="458"/>
    </row>
    <row r="591" spans="1:23" ht="15.75" customHeight="1">
      <c r="A591" s="458"/>
      <c r="B591" s="458"/>
      <c r="C591" s="458"/>
      <c r="D591" s="458"/>
      <c r="E591" s="458"/>
      <c r="F591" s="458"/>
      <c r="G591" s="458"/>
      <c r="H591" s="458"/>
      <c r="I591" s="458"/>
      <c r="J591" s="458"/>
      <c r="K591" s="458"/>
      <c r="L591" s="458"/>
      <c r="M591" s="458"/>
      <c r="N591" s="458"/>
      <c r="O591" s="458"/>
      <c r="P591" s="458"/>
      <c r="Q591" s="458"/>
      <c r="R591" s="458"/>
      <c r="S591" s="458"/>
      <c r="T591" s="458"/>
      <c r="U591" s="458"/>
      <c r="V591" s="458"/>
      <c r="W591" s="458"/>
    </row>
    <row r="592" spans="1:23" ht="15.75" customHeight="1">
      <c r="A592" s="458"/>
      <c r="B592" s="458"/>
      <c r="C592" s="458"/>
      <c r="D592" s="458"/>
      <c r="E592" s="458"/>
      <c r="F592" s="458"/>
      <c r="G592" s="458"/>
      <c r="H592" s="458"/>
      <c r="I592" s="458"/>
      <c r="J592" s="458"/>
      <c r="K592" s="458"/>
      <c r="L592" s="458"/>
      <c r="M592" s="458"/>
      <c r="N592" s="458"/>
      <c r="O592" s="458"/>
      <c r="P592" s="458"/>
      <c r="Q592" s="458"/>
      <c r="R592" s="458"/>
      <c r="S592" s="458"/>
      <c r="T592" s="458"/>
      <c r="U592" s="458"/>
      <c r="V592" s="458"/>
      <c r="W592" s="458"/>
    </row>
    <row r="593" spans="1:23" ht="15.75" customHeight="1">
      <c r="A593" s="458"/>
      <c r="B593" s="458"/>
      <c r="C593" s="458"/>
      <c r="D593" s="458"/>
      <c r="E593" s="458"/>
      <c r="F593" s="458"/>
      <c r="G593" s="458"/>
      <c r="H593" s="458"/>
      <c r="I593" s="458"/>
      <c r="J593" s="458"/>
      <c r="K593" s="458"/>
      <c r="L593" s="458"/>
      <c r="M593" s="458"/>
      <c r="N593" s="458"/>
      <c r="O593" s="458"/>
      <c r="P593" s="458"/>
      <c r="Q593" s="458"/>
      <c r="R593" s="458"/>
      <c r="S593" s="458"/>
      <c r="T593" s="458"/>
      <c r="U593" s="458"/>
      <c r="V593" s="458"/>
      <c r="W593" s="458"/>
    </row>
    <row r="594" spans="1:23" ht="15.75" customHeight="1">
      <c r="A594" s="458"/>
      <c r="B594" s="458"/>
      <c r="C594" s="458"/>
      <c r="D594" s="458"/>
      <c r="E594" s="458"/>
      <c r="F594" s="458"/>
      <c r="G594" s="458"/>
      <c r="H594" s="458"/>
      <c r="I594" s="458"/>
      <c r="J594" s="458"/>
      <c r="K594" s="458"/>
      <c r="L594" s="458"/>
      <c r="M594" s="458"/>
      <c r="N594" s="458"/>
      <c r="O594" s="458"/>
      <c r="P594" s="458"/>
      <c r="Q594" s="458"/>
      <c r="R594" s="458"/>
      <c r="S594" s="458"/>
      <c r="T594" s="458"/>
      <c r="U594" s="458"/>
      <c r="V594" s="458"/>
      <c r="W594" s="458"/>
    </row>
    <row r="595" spans="1:23" ht="15.75" customHeight="1">
      <c r="A595" s="458"/>
      <c r="B595" s="458"/>
      <c r="C595" s="458"/>
      <c r="D595" s="458"/>
      <c r="E595" s="458"/>
      <c r="F595" s="458"/>
      <c r="G595" s="458"/>
      <c r="H595" s="458"/>
      <c r="I595" s="458"/>
      <c r="J595" s="458"/>
      <c r="K595" s="458"/>
      <c r="L595" s="458"/>
      <c r="M595" s="458"/>
      <c r="N595" s="458"/>
      <c r="O595" s="458"/>
      <c r="P595" s="458"/>
      <c r="Q595" s="458"/>
      <c r="R595" s="458"/>
      <c r="S595" s="458"/>
      <c r="T595" s="458"/>
      <c r="U595" s="458"/>
      <c r="V595" s="458"/>
      <c r="W595" s="458"/>
    </row>
    <row r="596" spans="1:23" ht="15.75" customHeight="1">
      <c r="A596" s="458"/>
      <c r="B596" s="458"/>
      <c r="C596" s="458"/>
      <c r="D596" s="458"/>
      <c r="E596" s="458"/>
      <c r="F596" s="458"/>
      <c r="G596" s="458"/>
      <c r="H596" s="458"/>
      <c r="I596" s="458"/>
      <c r="J596" s="458"/>
      <c r="K596" s="458"/>
      <c r="L596" s="458"/>
      <c r="M596" s="458"/>
      <c r="N596" s="458"/>
      <c r="O596" s="458"/>
      <c r="P596" s="458"/>
      <c r="Q596" s="458"/>
      <c r="R596" s="458"/>
      <c r="S596" s="458"/>
      <c r="T596" s="458"/>
      <c r="U596" s="458"/>
      <c r="V596" s="458"/>
      <c r="W596" s="458"/>
    </row>
    <row r="597" spans="1:23" ht="15.75" customHeight="1">
      <c r="A597" s="458"/>
      <c r="B597" s="458"/>
      <c r="C597" s="458"/>
      <c r="D597" s="458"/>
      <c r="E597" s="458"/>
      <c r="F597" s="458"/>
      <c r="G597" s="458"/>
      <c r="H597" s="458"/>
      <c r="I597" s="458"/>
      <c r="J597" s="458"/>
      <c r="K597" s="458"/>
      <c r="L597" s="458"/>
      <c r="M597" s="458"/>
      <c r="N597" s="458"/>
      <c r="O597" s="458"/>
      <c r="P597" s="458"/>
      <c r="Q597" s="458"/>
      <c r="R597" s="458"/>
      <c r="S597" s="458"/>
      <c r="T597" s="458"/>
      <c r="U597" s="458"/>
      <c r="V597" s="458"/>
      <c r="W597" s="458"/>
    </row>
    <row r="598" spans="1:23" ht="15.75" customHeight="1">
      <c r="A598" s="458"/>
      <c r="B598" s="458"/>
      <c r="C598" s="458"/>
      <c r="D598" s="458"/>
      <c r="E598" s="458"/>
      <c r="F598" s="458"/>
      <c r="G598" s="458"/>
      <c r="H598" s="458"/>
      <c r="I598" s="458"/>
      <c r="J598" s="458"/>
      <c r="K598" s="458"/>
      <c r="L598" s="458"/>
      <c r="M598" s="458"/>
      <c r="N598" s="458"/>
      <c r="O598" s="458"/>
      <c r="P598" s="458"/>
      <c r="Q598" s="458"/>
      <c r="R598" s="458"/>
      <c r="S598" s="458"/>
      <c r="T598" s="458"/>
      <c r="U598" s="458"/>
      <c r="V598" s="458"/>
      <c r="W598" s="458"/>
    </row>
    <row r="599" spans="1:23" ht="15.75" customHeight="1">
      <c r="A599" s="458"/>
      <c r="B599" s="458"/>
      <c r="C599" s="458"/>
      <c r="D599" s="458"/>
      <c r="E599" s="458"/>
      <c r="F599" s="458"/>
      <c r="G599" s="458"/>
      <c r="H599" s="458"/>
      <c r="I599" s="458"/>
      <c r="J599" s="458"/>
      <c r="K599" s="458"/>
      <c r="L599" s="458"/>
      <c r="M599" s="458"/>
      <c r="N599" s="458"/>
      <c r="O599" s="458"/>
      <c r="P599" s="458"/>
      <c r="Q599" s="458"/>
      <c r="R599" s="458"/>
      <c r="S599" s="458"/>
      <c r="T599" s="458"/>
      <c r="U599" s="458"/>
      <c r="V599" s="458"/>
      <c r="W599" s="458"/>
    </row>
    <row r="600" spans="1:23" ht="15.75" customHeight="1">
      <c r="A600" s="458"/>
      <c r="B600" s="458"/>
      <c r="C600" s="458"/>
      <c r="D600" s="458"/>
      <c r="E600" s="458"/>
      <c r="F600" s="458"/>
      <c r="G600" s="458"/>
      <c r="H600" s="458"/>
      <c r="I600" s="458"/>
      <c r="J600" s="458"/>
      <c r="K600" s="458"/>
      <c r="L600" s="458"/>
      <c r="M600" s="458"/>
      <c r="N600" s="458"/>
      <c r="O600" s="458"/>
      <c r="P600" s="458"/>
      <c r="Q600" s="458"/>
      <c r="R600" s="458"/>
      <c r="S600" s="458"/>
      <c r="T600" s="458"/>
      <c r="U600" s="458"/>
      <c r="V600" s="458"/>
      <c r="W600" s="458"/>
    </row>
    <row r="601" spans="1:23" ht="15.75" customHeight="1">
      <c r="A601" s="458"/>
      <c r="B601" s="458"/>
      <c r="C601" s="458"/>
      <c r="D601" s="458"/>
      <c r="E601" s="458"/>
      <c r="F601" s="458"/>
      <c r="G601" s="458"/>
      <c r="H601" s="458"/>
      <c r="I601" s="458"/>
      <c r="J601" s="458"/>
      <c r="K601" s="458"/>
      <c r="L601" s="458"/>
      <c r="M601" s="458"/>
      <c r="N601" s="458"/>
      <c r="O601" s="458"/>
      <c r="P601" s="458"/>
      <c r="Q601" s="458"/>
      <c r="R601" s="458"/>
      <c r="S601" s="458"/>
      <c r="T601" s="458"/>
      <c r="U601" s="458"/>
      <c r="V601" s="458"/>
      <c r="W601" s="458"/>
    </row>
    <row r="602" spans="1:23" ht="15.75" customHeight="1">
      <c r="A602" s="458"/>
      <c r="B602" s="458"/>
      <c r="C602" s="458"/>
      <c r="D602" s="458"/>
      <c r="E602" s="458"/>
      <c r="F602" s="458"/>
      <c r="G602" s="458"/>
      <c r="H602" s="458"/>
      <c r="I602" s="458"/>
      <c r="J602" s="458"/>
      <c r="K602" s="458"/>
      <c r="L602" s="458"/>
      <c r="M602" s="458"/>
      <c r="N602" s="458"/>
      <c r="O602" s="458"/>
      <c r="P602" s="458"/>
      <c r="Q602" s="458"/>
      <c r="R602" s="458"/>
      <c r="S602" s="458"/>
      <c r="T602" s="458"/>
      <c r="U602" s="458"/>
      <c r="V602" s="458"/>
      <c r="W602" s="458"/>
    </row>
    <row r="603" spans="1:23" ht="15.75" customHeight="1">
      <c r="A603" s="458"/>
      <c r="B603" s="458"/>
      <c r="C603" s="458"/>
      <c r="D603" s="458"/>
      <c r="E603" s="458"/>
      <c r="F603" s="458"/>
      <c r="G603" s="458"/>
      <c r="H603" s="458"/>
      <c r="I603" s="458"/>
      <c r="J603" s="458"/>
      <c r="K603" s="458"/>
      <c r="L603" s="458"/>
      <c r="M603" s="458"/>
      <c r="N603" s="458"/>
      <c r="O603" s="458"/>
      <c r="P603" s="458"/>
      <c r="Q603" s="458"/>
      <c r="R603" s="458"/>
      <c r="S603" s="458"/>
      <c r="T603" s="458"/>
      <c r="U603" s="458"/>
      <c r="V603" s="458"/>
      <c r="W603" s="458"/>
    </row>
    <row r="604" spans="1:23" ht="15.75" customHeight="1">
      <c r="A604" s="458"/>
      <c r="B604" s="458"/>
      <c r="C604" s="458"/>
      <c r="D604" s="458"/>
      <c r="E604" s="458"/>
      <c r="F604" s="458"/>
      <c r="G604" s="458"/>
      <c r="H604" s="458"/>
      <c r="I604" s="458"/>
      <c r="J604" s="458"/>
      <c r="K604" s="458"/>
      <c r="L604" s="458"/>
      <c r="M604" s="458"/>
      <c r="N604" s="458"/>
      <c r="O604" s="458"/>
      <c r="P604" s="458"/>
      <c r="Q604" s="458"/>
      <c r="R604" s="458"/>
      <c r="S604" s="458"/>
      <c r="T604" s="458"/>
      <c r="U604" s="458"/>
      <c r="V604" s="458"/>
      <c r="W604" s="458"/>
    </row>
    <row r="605" spans="1:23" ht="15.75" customHeight="1">
      <c r="A605" s="458"/>
      <c r="B605" s="458"/>
      <c r="C605" s="458"/>
      <c r="D605" s="458"/>
      <c r="E605" s="458"/>
      <c r="F605" s="458"/>
      <c r="G605" s="458"/>
      <c r="H605" s="458"/>
      <c r="I605" s="458"/>
      <c r="J605" s="458"/>
      <c r="K605" s="458"/>
      <c r="L605" s="458"/>
      <c r="M605" s="458"/>
      <c r="N605" s="458"/>
      <c r="O605" s="458"/>
      <c r="P605" s="458"/>
      <c r="Q605" s="458"/>
      <c r="R605" s="458"/>
      <c r="S605" s="458"/>
      <c r="T605" s="458"/>
      <c r="U605" s="458"/>
      <c r="V605" s="458"/>
      <c r="W605" s="458"/>
    </row>
    <row r="606" spans="1:23" ht="15.75" customHeight="1">
      <c r="A606" s="458"/>
      <c r="B606" s="458"/>
      <c r="C606" s="458"/>
      <c r="D606" s="458"/>
      <c r="E606" s="458"/>
      <c r="F606" s="458"/>
      <c r="G606" s="458"/>
      <c r="H606" s="458"/>
      <c r="I606" s="458"/>
      <c r="J606" s="458"/>
      <c r="K606" s="458"/>
      <c r="L606" s="458"/>
      <c r="M606" s="458"/>
      <c r="N606" s="458"/>
      <c r="O606" s="458"/>
      <c r="P606" s="458"/>
      <c r="Q606" s="458"/>
      <c r="R606" s="458"/>
      <c r="S606" s="458"/>
      <c r="T606" s="458"/>
      <c r="U606" s="458"/>
      <c r="V606" s="458"/>
      <c r="W606" s="458"/>
    </row>
    <row r="607" spans="1:23" ht="15.75" customHeight="1">
      <c r="A607" s="458"/>
      <c r="B607" s="458"/>
      <c r="C607" s="458"/>
      <c r="D607" s="458"/>
      <c r="E607" s="458"/>
      <c r="F607" s="458"/>
      <c r="G607" s="458"/>
      <c r="H607" s="458"/>
      <c r="I607" s="458"/>
      <c r="J607" s="458"/>
      <c r="K607" s="458"/>
      <c r="L607" s="458"/>
      <c r="M607" s="458"/>
      <c r="N607" s="458"/>
      <c r="O607" s="458"/>
      <c r="P607" s="458"/>
      <c r="Q607" s="458"/>
      <c r="R607" s="458"/>
      <c r="S607" s="458"/>
      <c r="T607" s="458"/>
      <c r="U607" s="458"/>
      <c r="V607" s="458"/>
      <c r="W607" s="458"/>
    </row>
    <row r="608" spans="1:23" ht="15.75" customHeight="1">
      <c r="A608" s="458"/>
      <c r="B608" s="458"/>
      <c r="C608" s="458"/>
      <c r="D608" s="458"/>
      <c r="E608" s="458"/>
      <c r="F608" s="458"/>
      <c r="G608" s="458"/>
      <c r="H608" s="458"/>
      <c r="I608" s="458"/>
      <c r="J608" s="458"/>
      <c r="K608" s="458"/>
      <c r="L608" s="458"/>
      <c r="M608" s="458"/>
      <c r="N608" s="458"/>
      <c r="O608" s="458"/>
      <c r="P608" s="458"/>
      <c r="Q608" s="458"/>
      <c r="R608" s="458"/>
      <c r="S608" s="458"/>
      <c r="T608" s="458"/>
      <c r="U608" s="458"/>
      <c r="V608" s="458"/>
      <c r="W608" s="458"/>
    </row>
    <row r="609" spans="1:23" ht="15.75" customHeight="1">
      <c r="A609" s="458"/>
      <c r="B609" s="458"/>
      <c r="C609" s="458"/>
      <c r="D609" s="458"/>
      <c r="E609" s="458"/>
      <c r="F609" s="458"/>
      <c r="G609" s="458"/>
      <c r="H609" s="458"/>
      <c r="I609" s="458"/>
      <c r="J609" s="458"/>
      <c r="K609" s="458"/>
      <c r="L609" s="458"/>
      <c r="M609" s="458"/>
      <c r="N609" s="458"/>
      <c r="O609" s="458"/>
      <c r="P609" s="458"/>
      <c r="Q609" s="458"/>
      <c r="R609" s="458"/>
      <c r="S609" s="458"/>
      <c r="T609" s="458"/>
      <c r="U609" s="458"/>
      <c r="V609" s="458"/>
      <c r="W609" s="458"/>
    </row>
    <row r="610" spans="1:23" ht="15.75" customHeight="1">
      <c r="A610" s="458"/>
      <c r="B610" s="458"/>
      <c r="C610" s="458"/>
      <c r="D610" s="458"/>
      <c r="E610" s="458"/>
      <c r="F610" s="458"/>
      <c r="G610" s="458"/>
      <c r="H610" s="458"/>
      <c r="I610" s="458"/>
      <c r="J610" s="458"/>
      <c r="K610" s="458"/>
      <c r="L610" s="458"/>
      <c r="M610" s="458"/>
      <c r="N610" s="458"/>
      <c r="O610" s="458"/>
      <c r="P610" s="458"/>
      <c r="Q610" s="458"/>
      <c r="R610" s="458"/>
      <c r="S610" s="458"/>
      <c r="T610" s="458"/>
      <c r="U610" s="458"/>
      <c r="V610" s="458"/>
      <c r="W610" s="458"/>
    </row>
    <row r="611" spans="1:23" ht="15.75" customHeight="1">
      <c r="A611" s="458"/>
      <c r="B611" s="458"/>
      <c r="C611" s="458"/>
      <c r="D611" s="458"/>
      <c r="E611" s="458"/>
      <c r="F611" s="458"/>
      <c r="G611" s="458"/>
      <c r="H611" s="458"/>
      <c r="I611" s="458"/>
      <c r="J611" s="458"/>
      <c r="K611" s="458"/>
      <c r="L611" s="458"/>
      <c r="M611" s="458"/>
      <c r="N611" s="458"/>
      <c r="O611" s="458"/>
      <c r="P611" s="458"/>
      <c r="Q611" s="458"/>
      <c r="R611" s="458"/>
      <c r="S611" s="458"/>
      <c r="T611" s="458"/>
      <c r="U611" s="458"/>
      <c r="V611" s="458"/>
      <c r="W611" s="458"/>
    </row>
    <row r="612" spans="1:23" ht="15.75" customHeight="1">
      <c r="A612" s="458"/>
      <c r="B612" s="458"/>
      <c r="C612" s="458"/>
      <c r="D612" s="458"/>
      <c r="E612" s="458"/>
      <c r="F612" s="458"/>
      <c r="G612" s="458"/>
      <c r="H612" s="458"/>
      <c r="I612" s="458"/>
      <c r="J612" s="458"/>
      <c r="K612" s="458"/>
      <c r="L612" s="458"/>
      <c r="M612" s="458"/>
      <c r="N612" s="458"/>
      <c r="O612" s="458"/>
      <c r="P612" s="458"/>
      <c r="Q612" s="458"/>
      <c r="R612" s="458"/>
      <c r="S612" s="458"/>
      <c r="T612" s="458"/>
      <c r="U612" s="458"/>
      <c r="V612" s="458"/>
      <c r="W612" s="458"/>
    </row>
    <row r="613" spans="1:23" ht="15.75" customHeight="1">
      <c r="A613" s="458"/>
      <c r="B613" s="458"/>
      <c r="C613" s="458"/>
      <c r="D613" s="458"/>
      <c r="E613" s="458"/>
      <c r="F613" s="458"/>
      <c r="G613" s="458"/>
      <c r="H613" s="458"/>
      <c r="I613" s="458"/>
      <c r="J613" s="458"/>
      <c r="K613" s="458"/>
      <c r="L613" s="458"/>
      <c r="M613" s="458"/>
      <c r="N613" s="458"/>
      <c r="O613" s="458"/>
      <c r="P613" s="458"/>
      <c r="Q613" s="458"/>
      <c r="R613" s="458"/>
      <c r="S613" s="458"/>
      <c r="T613" s="458"/>
      <c r="U613" s="458"/>
      <c r="V613" s="458"/>
      <c r="W613" s="458"/>
    </row>
    <row r="614" spans="1:23" ht="15.75" customHeight="1">
      <c r="A614" s="458"/>
      <c r="B614" s="458"/>
      <c r="C614" s="458"/>
      <c r="D614" s="458"/>
      <c r="E614" s="458"/>
      <c r="F614" s="458"/>
      <c r="G614" s="458"/>
      <c r="H614" s="458"/>
      <c r="I614" s="458"/>
      <c r="J614" s="458"/>
      <c r="K614" s="458"/>
      <c r="L614" s="458"/>
      <c r="M614" s="458"/>
      <c r="N614" s="458"/>
      <c r="O614" s="458"/>
      <c r="P614" s="458"/>
      <c r="Q614" s="458"/>
      <c r="R614" s="458"/>
      <c r="S614" s="458"/>
      <c r="T614" s="458"/>
      <c r="U614" s="458"/>
      <c r="V614" s="458"/>
      <c r="W614" s="458"/>
    </row>
    <row r="615" spans="1:23" ht="15.75" customHeight="1">
      <c r="A615" s="458"/>
      <c r="B615" s="458"/>
      <c r="C615" s="458"/>
      <c r="D615" s="458"/>
      <c r="E615" s="458"/>
      <c r="F615" s="458"/>
      <c r="G615" s="458"/>
      <c r="H615" s="458"/>
      <c r="I615" s="458"/>
      <c r="J615" s="458"/>
      <c r="K615" s="458"/>
      <c r="L615" s="458"/>
      <c r="M615" s="458"/>
      <c r="N615" s="458"/>
      <c r="O615" s="458"/>
      <c r="P615" s="458"/>
      <c r="Q615" s="458"/>
      <c r="R615" s="458"/>
      <c r="S615" s="458"/>
      <c r="T615" s="458"/>
      <c r="U615" s="458"/>
      <c r="V615" s="458"/>
      <c r="W615" s="458"/>
    </row>
    <row r="616" spans="1:23" ht="15.75" customHeight="1">
      <c r="A616" s="458"/>
      <c r="B616" s="458"/>
      <c r="C616" s="458"/>
      <c r="D616" s="458"/>
      <c r="E616" s="458"/>
      <c r="F616" s="458"/>
      <c r="G616" s="458"/>
      <c r="H616" s="458"/>
      <c r="I616" s="458"/>
      <c r="J616" s="458"/>
      <c r="K616" s="458"/>
      <c r="L616" s="458"/>
      <c r="M616" s="458"/>
      <c r="N616" s="458"/>
      <c r="O616" s="458"/>
      <c r="P616" s="458"/>
      <c r="Q616" s="458"/>
      <c r="R616" s="458"/>
      <c r="S616" s="458"/>
      <c r="T616" s="458"/>
      <c r="U616" s="458"/>
      <c r="V616" s="458"/>
      <c r="W616" s="458"/>
    </row>
    <row r="617" spans="1:23" ht="15.75" customHeight="1">
      <c r="A617" s="458"/>
      <c r="B617" s="458"/>
      <c r="C617" s="458"/>
      <c r="D617" s="458"/>
      <c r="E617" s="458"/>
      <c r="F617" s="458"/>
      <c r="G617" s="458"/>
      <c r="H617" s="458"/>
      <c r="I617" s="458"/>
      <c r="J617" s="458"/>
      <c r="K617" s="458"/>
      <c r="L617" s="458"/>
      <c r="M617" s="458"/>
      <c r="N617" s="458"/>
      <c r="O617" s="458"/>
      <c r="P617" s="458"/>
      <c r="Q617" s="458"/>
      <c r="R617" s="458"/>
      <c r="S617" s="458"/>
      <c r="T617" s="458"/>
      <c r="U617" s="458"/>
      <c r="V617" s="458"/>
      <c r="W617" s="458"/>
    </row>
    <row r="618" spans="1:23" ht="15.75" customHeight="1">
      <c r="A618" s="458"/>
      <c r="B618" s="458"/>
      <c r="C618" s="458"/>
      <c r="D618" s="458"/>
      <c r="E618" s="458"/>
      <c r="F618" s="458"/>
      <c r="G618" s="458"/>
      <c r="H618" s="458"/>
      <c r="I618" s="458"/>
      <c r="J618" s="458"/>
      <c r="K618" s="458"/>
      <c r="L618" s="458"/>
      <c r="M618" s="458"/>
      <c r="N618" s="458"/>
      <c r="O618" s="458"/>
      <c r="P618" s="458"/>
      <c r="Q618" s="458"/>
      <c r="R618" s="458"/>
      <c r="S618" s="458"/>
      <c r="T618" s="458"/>
      <c r="U618" s="458"/>
      <c r="V618" s="458"/>
      <c r="W618" s="458"/>
    </row>
    <row r="619" spans="1:23" ht="15.75" customHeight="1">
      <c r="A619" s="458"/>
      <c r="B619" s="458"/>
      <c r="C619" s="458"/>
      <c r="D619" s="458"/>
      <c r="E619" s="458"/>
      <c r="F619" s="458"/>
      <c r="G619" s="458"/>
      <c r="H619" s="458"/>
      <c r="I619" s="458"/>
      <c r="J619" s="458"/>
      <c r="K619" s="458"/>
      <c r="L619" s="458"/>
      <c r="M619" s="458"/>
      <c r="N619" s="458"/>
      <c r="O619" s="458"/>
      <c r="P619" s="458"/>
      <c r="Q619" s="458"/>
      <c r="R619" s="458"/>
      <c r="S619" s="458"/>
      <c r="T619" s="458"/>
      <c r="U619" s="458"/>
      <c r="V619" s="458"/>
      <c r="W619" s="458"/>
    </row>
    <row r="620" spans="1:23" ht="15.75" customHeight="1">
      <c r="A620" s="458"/>
      <c r="B620" s="458"/>
      <c r="C620" s="458"/>
      <c r="D620" s="458"/>
      <c r="E620" s="458"/>
      <c r="F620" s="458"/>
      <c r="G620" s="458"/>
      <c r="H620" s="458"/>
      <c r="I620" s="458"/>
      <c r="J620" s="458"/>
      <c r="K620" s="458"/>
      <c r="L620" s="458"/>
      <c r="M620" s="458"/>
      <c r="N620" s="458"/>
      <c r="O620" s="458"/>
      <c r="P620" s="458"/>
      <c r="Q620" s="458"/>
      <c r="R620" s="458"/>
      <c r="S620" s="458"/>
      <c r="T620" s="458"/>
      <c r="U620" s="458"/>
      <c r="V620" s="458"/>
      <c r="W620" s="458"/>
    </row>
    <row r="621" spans="1:23" ht="15.75" customHeight="1">
      <c r="A621" s="458"/>
      <c r="B621" s="458"/>
      <c r="C621" s="458"/>
      <c r="D621" s="458"/>
      <c r="E621" s="458"/>
      <c r="F621" s="458"/>
      <c r="G621" s="458"/>
      <c r="H621" s="458"/>
      <c r="I621" s="458"/>
      <c r="J621" s="458"/>
      <c r="K621" s="458"/>
      <c r="L621" s="458"/>
      <c r="M621" s="458"/>
      <c r="N621" s="458"/>
      <c r="O621" s="458"/>
      <c r="P621" s="458"/>
      <c r="Q621" s="458"/>
      <c r="R621" s="458"/>
      <c r="S621" s="458"/>
      <c r="T621" s="458"/>
      <c r="U621" s="458"/>
      <c r="V621" s="458"/>
      <c r="W621" s="458"/>
    </row>
    <row r="622" spans="1:23" ht="15.75" customHeight="1">
      <c r="A622" s="458"/>
      <c r="B622" s="458"/>
      <c r="C622" s="458"/>
      <c r="D622" s="458"/>
      <c r="E622" s="458"/>
      <c r="F622" s="458"/>
      <c r="G622" s="458"/>
      <c r="H622" s="458"/>
      <c r="I622" s="458"/>
      <c r="J622" s="458"/>
      <c r="K622" s="458"/>
      <c r="L622" s="458"/>
      <c r="M622" s="458"/>
      <c r="N622" s="458"/>
      <c r="O622" s="458"/>
      <c r="P622" s="458"/>
      <c r="Q622" s="458"/>
      <c r="R622" s="458"/>
      <c r="S622" s="458"/>
      <c r="T622" s="458"/>
      <c r="U622" s="458"/>
      <c r="V622" s="458"/>
      <c r="W622" s="458"/>
    </row>
    <row r="623" spans="1:23" ht="15.75" customHeight="1">
      <c r="A623" s="458"/>
      <c r="B623" s="458"/>
      <c r="C623" s="458"/>
      <c r="D623" s="458"/>
      <c r="E623" s="458"/>
      <c r="F623" s="458"/>
      <c r="G623" s="458"/>
      <c r="H623" s="458"/>
      <c r="I623" s="458"/>
      <c r="J623" s="458"/>
      <c r="K623" s="458"/>
      <c r="L623" s="458"/>
      <c r="M623" s="458"/>
      <c r="N623" s="458"/>
      <c r="O623" s="458"/>
      <c r="P623" s="458"/>
      <c r="Q623" s="458"/>
      <c r="R623" s="458"/>
      <c r="S623" s="458"/>
      <c r="T623" s="458"/>
      <c r="U623" s="458"/>
      <c r="V623" s="458"/>
      <c r="W623" s="458"/>
    </row>
    <row r="624" spans="1:23" ht="15.75" customHeight="1">
      <c r="A624" s="458"/>
      <c r="B624" s="458"/>
      <c r="C624" s="458"/>
      <c r="D624" s="458"/>
      <c r="E624" s="458"/>
      <c r="F624" s="458"/>
      <c r="G624" s="458"/>
      <c r="H624" s="458"/>
      <c r="I624" s="458"/>
      <c r="J624" s="458"/>
      <c r="K624" s="458"/>
      <c r="L624" s="458"/>
      <c r="M624" s="458"/>
      <c r="N624" s="458"/>
      <c r="O624" s="458"/>
      <c r="P624" s="458"/>
      <c r="Q624" s="458"/>
      <c r="R624" s="458"/>
      <c r="S624" s="458"/>
      <c r="T624" s="458"/>
      <c r="U624" s="458"/>
      <c r="V624" s="458"/>
      <c r="W624" s="458"/>
    </row>
    <row r="625" spans="1:23" ht="15.75" customHeight="1">
      <c r="A625" s="458"/>
      <c r="B625" s="458"/>
      <c r="C625" s="458"/>
      <c r="D625" s="458"/>
      <c r="E625" s="458"/>
      <c r="F625" s="458"/>
      <c r="G625" s="458"/>
      <c r="H625" s="458"/>
      <c r="I625" s="458"/>
      <c r="J625" s="458"/>
      <c r="K625" s="458"/>
      <c r="L625" s="458"/>
      <c r="M625" s="458"/>
      <c r="N625" s="458"/>
      <c r="O625" s="458"/>
      <c r="P625" s="458"/>
      <c r="Q625" s="458"/>
      <c r="R625" s="458"/>
      <c r="S625" s="458"/>
      <c r="T625" s="458"/>
      <c r="U625" s="458"/>
      <c r="V625" s="458"/>
      <c r="W625" s="458"/>
    </row>
    <row r="626" spans="1:23" ht="15.75" customHeight="1">
      <c r="A626" s="458"/>
      <c r="B626" s="458"/>
      <c r="C626" s="458"/>
      <c r="D626" s="458"/>
      <c r="E626" s="458"/>
      <c r="F626" s="458"/>
      <c r="G626" s="458"/>
      <c r="H626" s="458"/>
      <c r="I626" s="458"/>
      <c r="J626" s="458"/>
      <c r="K626" s="458"/>
      <c r="L626" s="458"/>
      <c r="M626" s="458"/>
      <c r="N626" s="458"/>
      <c r="O626" s="458"/>
      <c r="P626" s="458"/>
      <c r="Q626" s="458"/>
      <c r="R626" s="458"/>
      <c r="S626" s="458"/>
      <c r="T626" s="458"/>
      <c r="U626" s="458"/>
      <c r="V626" s="458"/>
      <c r="W626" s="458"/>
    </row>
    <row r="627" spans="1:23" ht="15.75" customHeight="1">
      <c r="A627" s="458"/>
      <c r="B627" s="458"/>
      <c r="C627" s="458"/>
      <c r="D627" s="458"/>
      <c r="E627" s="458"/>
      <c r="F627" s="458"/>
      <c r="G627" s="458"/>
      <c r="H627" s="458"/>
      <c r="I627" s="458"/>
      <c r="J627" s="458"/>
      <c r="K627" s="458"/>
      <c r="L627" s="458"/>
      <c r="M627" s="458"/>
      <c r="N627" s="458"/>
      <c r="O627" s="458"/>
      <c r="P627" s="458"/>
      <c r="Q627" s="458"/>
      <c r="R627" s="458"/>
      <c r="S627" s="458"/>
      <c r="T627" s="458"/>
      <c r="U627" s="458"/>
      <c r="V627" s="458"/>
      <c r="W627" s="458"/>
    </row>
    <row r="628" spans="1:23" ht="15.75" customHeight="1">
      <c r="A628" s="458"/>
      <c r="B628" s="458"/>
      <c r="C628" s="458"/>
      <c r="D628" s="458"/>
      <c r="E628" s="458"/>
      <c r="F628" s="458"/>
      <c r="G628" s="458"/>
      <c r="H628" s="458"/>
      <c r="I628" s="458"/>
      <c r="J628" s="458"/>
      <c r="K628" s="458"/>
      <c r="L628" s="458"/>
      <c r="M628" s="458"/>
      <c r="N628" s="458"/>
      <c r="O628" s="458"/>
      <c r="P628" s="458"/>
      <c r="Q628" s="458"/>
      <c r="R628" s="458"/>
      <c r="S628" s="458"/>
      <c r="T628" s="458"/>
      <c r="U628" s="458"/>
      <c r="V628" s="458"/>
      <c r="W628" s="458"/>
    </row>
    <row r="629" spans="1:23" ht="15.75" customHeight="1">
      <c r="A629" s="458"/>
      <c r="B629" s="458"/>
      <c r="C629" s="458"/>
      <c r="D629" s="458"/>
      <c r="E629" s="458"/>
      <c r="F629" s="458"/>
      <c r="G629" s="458"/>
      <c r="H629" s="458"/>
      <c r="I629" s="458"/>
      <c r="J629" s="458"/>
      <c r="K629" s="458"/>
      <c r="L629" s="458"/>
      <c r="M629" s="458"/>
      <c r="N629" s="458"/>
      <c r="O629" s="458"/>
      <c r="P629" s="458"/>
      <c r="Q629" s="458"/>
      <c r="R629" s="458"/>
      <c r="S629" s="458"/>
      <c r="T629" s="458"/>
      <c r="U629" s="458"/>
      <c r="V629" s="458"/>
      <c r="W629" s="458"/>
    </row>
    <row r="630" spans="1:23" ht="15.75" customHeight="1">
      <c r="A630" s="458"/>
      <c r="B630" s="458"/>
      <c r="C630" s="458"/>
      <c r="D630" s="458"/>
      <c r="E630" s="458"/>
      <c r="F630" s="458"/>
      <c r="G630" s="458"/>
      <c r="H630" s="458"/>
      <c r="I630" s="458"/>
      <c r="J630" s="458"/>
      <c r="K630" s="458"/>
      <c r="L630" s="458"/>
      <c r="M630" s="458"/>
      <c r="N630" s="458"/>
      <c r="O630" s="458"/>
      <c r="P630" s="458"/>
      <c r="Q630" s="458"/>
      <c r="R630" s="458"/>
      <c r="S630" s="458"/>
      <c r="T630" s="458"/>
      <c r="U630" s="458"/>
      <c r="V630" s="458"/>
      <c r="W630" s="458"/>
    </row>
    <row r="631" spans="1:23" ht="15.75" customHeight="1">
      <c r="A631" s="458"/>
      <c r="B631" s="458"/>
      <c r="C631" s="458"/>
      <c r="D631" s="458"/>
      <c r="E631" s="458"/>
      <c r="F631" s="458"/>
      <c r="G631" s="458"/>
      <c r="H631" s="458"/>
      <c r="I631" s="458"/>
      <c r="J631" s="458"/>
      <c r="K631" s="458"/>
      <c r="L631" s="458"/>
      <c r="M631" s="458"/>
      <c r="N631" s="458"/>
      <c r="O631" s="458"/>
      <c r="P631" s="458"/>
      <c r="Q631" s="458"/>
      <c r="R631" s="458"/>
      <c r="S631" s="458"/>
      <c r="T631" s="458"/>
      <c r="U631" s="458"/>
      <c r="V631" s="458"/>
      <c r="W631" s="458"/>
    </row>
    <row r="632" spans="1:23" ht="15.75" customHeight="1">
      <c r="A632" s="458"/>
      <c r="B632" s="458"/>
      <c r="C632" s="458"/>
      <c r="D632" s="458"/>
      <c r="E632" s="458"/>
      <c r="F632" s="458"/>
      <c r="G632" s="458"/>
      <c r="H632" s="458"/>
      <c r="I632" s="458"/>
      <c r="J632" s="458"/>
      <c r="K632" s="458"/>
      <c r="L632" s="458"/>
      <c r="M632" s="458"/>
      <c r="N632" s="458"/>
      <c r="O632" s="458"/>
      <c r="P632" s="458"/>
      <c r="Q632" s="458"/>
      <c r="R632" s="458"/>
      <c r="S632" s="458"/>
      <c r="T632" s="458"/>
      <c r="U632" s="458"/>
      <c r="V632" s="458"/>
      <c r="W632" s="458"/>
    </row>
    <row r="633" spans="1:23" ht="15.75" customHeight="1">
      <c r="A633" s="458"/>
      <c r="B633" s="458"/>
      <c r="C633" s="458"/>
      <c r="D633" s="458"/>
      <c r="E633" s="458"/>
      <c r="F633" s="458"/>
      <c r="G633" s="458"/>
      <c r="H633" s="458"/>
      <c r="I633" s="458"/>
      <c r="J633" s="458"/>
      <c r="K633" s="458"/>
      <c r="L633" s="458"/>
      <c r="M633" s="458"/>
      <c r="N633" s="458"/>
      <c r="O633" s="458"/>
      <c r="P633" s="458"/>
      <c r="Q633" s="458"/>
      <c r="R633" s="458"/>
      <c r="S633" s="458"/>
      <c r="T633" s="458"/>
      <c r="U633" s="458"/>
      <c r="V633" s="458"/>
      <c r="W633" s="458"/>
    </row>
    <row r="634" spans="1:23" ht="15.75" customHeight="1">
      <c r="A634" s="458"/>
      <c r="B634" s="458"/>
      <c r="C634" s="458"/>
      <c r="D634" s="458"/>
      <c r="E634" s="458"/>
      <c r="F634" s="458"/>
      <c r="G634" s="458"/>
      <c r="H634" s="458"/>
      <c r="I634" s="458"/>
      <c r="J634" s="458"/>
      <c r="K634" s="458"/>
      <c r="L634" s="458"/>
      <c r="M634" s="458"/>
      <c r="N634" s="458"/>
      <c r="O634" s="458"/>
      <c r="P634" s="458"/>
      <c r="Q634" s="458"/>
      <c r="R634" s="458"/>
      <c r="S634" s="458"/>
      <c r="T634" s="458"/>
      <c r="U634" s="458"/>
      <c r="V634" s="458"/>
      <c r="W634" s="458"/>
    </row>
    <row r="635" spans="1:23" ht="15.75" customHeight="1">
      <c r="A635" s="458"/>
      <c r="B635" s="458"/>
      <c r="C635" s="458"/>
      <c r="D635" s="458"/>
      <c r="E635" s="458"/>
      <c r="F635" s="458"/>
      <c r="G635" s="458"/>
      <c r="H635" s="458"/>
      <c r="I635" s="458"/>
      <c r="J635" s="458"/>
      <c r="K635" s="458"/>
      <c r="L635" s="458"/>
      <c r="M635" s="458"/>
      <c r="N635" s="458"/>
      <c r="O635" s="458"/>
      <c r="P635" s="458"/>
      <c r="Q635" s="458"/>
      <c r="R635" s="458"/>
      <c r="S635" s="458"/>
      <c r="T635" s="458"/>
      <c r="U635" s="458"/>
      <c r="V635" s="458"/>
      <c r="W635" s="458"/>
    </row>
    <row r="636" spans="1:23" ht="15.75" customHeight="1">
      <c r="A636" s="458"/>
      <c r="B636" s="458"/>
      <c r="C636" s="458"/>
      <c r="D636" s="458"/>
      <c r="E636" s="458"/>
      <c r="F636" s="458"/>
      <c r="G636" s="458"/>
      <c r="H636" s="458"/>
      <c r="I636" s="458"/>
      <c r="J636" s="458"/>
      <c r="K636" s="458"/>
      <c r="L636" s="458"/>
      <c r="M636" s="458"/>
      <c r="N636" s="458"/>
      <c r="O636" s="458"/>
      <c r="P636" s="458"/>
      <c r="Q636" s="458"/>
      <c r="R636" s="458"/>
      <c r="S636" s="458"/>
      <c r="T636" s="458"/>
      <c r="U636" s="458"/>
      <c r="V636" s="458"/>
      <c r="W636" s="458"/>
    </row>
    <row r="637" spans="1:23" ht="15.75" customHeight="1">
      <c r="A637" s="458"/>
      <c r="B637" s="458"/>
      <c r="C637" s="458"/>
      <c r="D637" s="458"/>
      <c r="E637" s="458"/>
      <c r="F637" s="458"/>
      <c r="G637" s="458"/>
      <c r="H637" s="458"/>
      <c r="I637" s="458"/>
      <c r="J637" s="458"/>
      <c r="K637" s="458"/>
      <c r="L637" s="458"/>
      <c r="M637" s="458"/>
      <c r="N637" s="458"/>
      <c r="O637" s="458"/>
      <c r="P637" s="458"/>
      <c r="Q637" s="458"/>
      <c r="R637" s="458"/>
      <c r="S637" s="458"/>
      <c r="T637" s="458"/>
      <c r="U637" s="458"/>
      <c r="V637" s="458"/>
      <c r="W637" s="458"/>
    </row>
    <row r="638" spans="1:23" ht="15.75" customHeight="1">
      <c r="A638" s="458"/>
      <c r="B638" s="458"/>
      <c r="C638" s="458"/>
      <c r="D638" s="458"/>
      <c r="E638" s="458"/>
      <c r="F638" s="458"/>
      <c r="G638" s="458"/>
      <c r="H638" s="458"/>
      <c r="I638" s="458"/>
      <c r="J638" s="458"/>
      <c r="K638" s="458"/>
      <c r="L638" s="458"/>
      <c r="M638" s="458"/>
      <c r="N638" s="458"/>
      <c r="O638" s="458"/>
      <c r="P638" s="458"/>
      <c r="Q638" s="458"/>
      <c r="R638" s="458"/>
      <c r="S638" s="458"/>
      <c r="T638" s="458"/>
      <c r="U638" s="458"/>
      <c r="V638" s="458"/>
      <c r="W638" s="458"/>
    </row>
    <row r="639" spans="1:23" ht="15.75" customHeight="1">
      <c r="A639" s="458"/>
      <c r="B639" s="458"/>
      <c r="C639" s="458"/>
      <c r="D639" s="458"/>
      <c r="E639" s="458"/>
      <c r="F639" s="458"/>
      <c r="G639" s="458"/>
      <c r="H639" s="458"/>
      <c r="I639" s="458"/>
      <c r="J639" s="458"/>
      <c r="K639" s="458"/>
      <c r="L639" s="458"/>
      <c r="M639" s="458"/>
      <c r="N639" s="458"/>
      <c r="O639" s="458"/>
      <c r="P639" s="458"/>
      <c r="Q639" s="458"/>
      <c r="R639" s="458"/>
      <c r="S639" s="458"/>
      <c r="T639" s="458"/>
      <c r="U639" s="458"/>
      <c r="V639" s="458"/>
      <c r="W639" s="458"/>
    </row>
    <row r="640" spans="1:23" ht="15.75" customHeight="1">
      <c r="A640" s="458"/>
      <c r="B640" s="458"/>
      <c r="C640" s="458"/>
      <c r="D640" s="458"/>
      <c r="E640" s="458"/>
      <c r="F640" s="458"/>
      <c r="G640" s="458"/>
      <c r="H640" s="458"/>
      <c r="I640" s="458"/>
      <c r="J640" s="458"/>
      <c r="K640" s="458"/>
      <c r="L640" s="458"/>
      <c r="M640" s="458"/>
      <c r="N640" s="458"/>
      <c r="O640" s="458"/>
      <c r="P640" s="458"/>
      <c r="Q640" s="458"/>
      <c r="R640" s="458"/>
      <c r="S640" s="458"/>
      <c r="T640" s="458"/>
      <c r="U640" s="458"/>
      <c r="V640" s="458"/>
      <c r="W640" s="458"/>
    </row>
    <row r="641" spans="1:23" ht="15.75" customHeight="1">
      <c r="A641" s="458"/>
      <c r="B641" s="458"/>
      <c r="C641" s="458"/>
      <c r="D641" s="458"/>
      <c r="E641" s="458"/>
      <c r="F641" s="458"/>
      <c r="G641" s="458"/>
      <c r="H641" s="458"/>
      <c r="I641" s="458"/>
      <c r="J641" s="458"/>
      <c r="K641" s="458"/>
      <c r="L641" s="458"/>
      <c r="M641" s="458"/>
      <c r="N641" s="458"/>
      <c r="O641" s="458"/>
      <c r="P641" s="458"/>
      <c r="Q641" s="458"/>
      <c r="R641" s="458"/>
      <c r="S641" s="458"/>
      <c r="T641" s="458"/>
      <c r="U641" s="458"/>
      <c r="V641" s="458"/>
      <c r="W641" s="458"/>
    </row>
    <row r="642" spans="1:23" ht="15.75" customHeight="1">
      <c r="A642" s="458"/>
      <c r="B642" s="458"/>
      <c r="C642" s="458"/>
      <c r="D642" s="458"/>
      <c r="E642" s="458"/>
      <c r="F642" s="458"/>
      <c r="G642" s="458"/>
      <c r="H642" s="458"/>
      <c r="I642" s="458"/>
      <c r="J642" s="458"/>
      <c r="K642" s="458"/>
      <c r="L642" s="458"/>
      <c r="M642" s="458"/>
      <c r="N642" s="458"/>
      <c r="O642" s="458"/>
      <c r="P642" s="458"/>
      <c r="Q642" s="458"/>
      <c r="R642" s="458"/>
      <c r="S642" s="458"/>
      <c r="T642" s="458"/>
      <c r="U642" s="458"/>
      <c r="V642" s="458"/>
      <c r="W642" s="458"/>
    </row>
    <row r="643" spans="1:23" ht="15.75" customHeight="1">
      <c r="A643" s="458"/>
      <c r="B643" s="458"/>
      <c r="C643" s="458"/>
      <c r="D643" s="458"/>
      <c r="E643" s="458"/>
      <c r="F643" s="458"/>
      <c r="G643" s="458"/>
      <c r="H643" s="458"/>
      <c r="I643" s="458"/>
      <c r="J643" s="458"/>
      <c r="K643" s="458"/>
      <c r="L643" s="458"/>
      <c r="M643" s="458"/>
      <c r="N643" s="458"/>
      <c r="O643" s="458"/>
      <c r="P643" s="458"/>
      <c r="Q643" s="458"/>
      <c r="R643" s="458"/>
      <c r="S643" s="458"/>
      <c r="T643" s="458"/>
      <c r="U643" s="458"/>
      <c r="V643" s="458"/>
      <c r="W643" s="458"/>
    </row>
    <row r="644" spans="1:23" ht="15.75" customHeight="1">
      <c r="A644" s="458"/>
      <c r="B644" s="458"/>
      <c r="C644" s="458"/>
      <c r="D644" s="458"/>
      <c r="E644" s="458"/>
      <c r="F644" s="458"/>
      <c r="G644" s="458"/>
      <c r="H644" s="458"/>
      <c r="I644" s="458"/>
      <c r="J644" s="458"/>
      <c r="K644" s="458"/>
      <c r="L644" s="458"/>
      <c r="M644" s="458"/>
      <c r="N644" s="458"/>
      <c r="O644" s="458"/>
      <c r="P644" s="458"/>
      <c r="Q644" s="458"/>
      <c r="R644" s="458"/>
      <c r="S644" s="458"/>
      <c r="T644" s="458"/>
      <c r="U644" s="458"/>
      <c r="V644" s="458"/>
      <c r="W644" s="458"/>
    </row>
    <row r="645" spans="1:23" ht="15.75" customHeight="1">
      <c r="A645" s="458"/>
      <c r="B645" s="458"/>
      <c r="C645" s="458"/>
      <c r="D645" s="458"/>
      <c r="E645" s="458"/>
      <c r="F645" s="458"/>
      <c r="G645" s="458"/>
      <c r="H645" s="458"/>
      <c r="I645" s="458"/>
      <c r="J645" s="458"/>
      <c r="K645" s="458"/>
      <c r="L645" s="458"/>
      <c r="M645" s="458"/>
      <c r="N645" s="458"/>
      <c r="O645" s="458"/>
      <c r="P645" s="458"/>
      <c r="Q645" s="458"/>
      <c r="R645" s="458"/>
      <c r="S645" s="458"/>
      <c r="T645" s="458"/>
      <c r="U645" s="458"/>
      <c r="V645" s="458"/>
      <c r="W645" s="458"/>
    </row>
    <row r="646" spans="1:23" ht="15.75" customHeight="1">
      <c r="A646" s="458"/>
      <c r="B646" s="458"/>
      <c r="C646" s="458"/>
      <c r="D646" s="458"/>
      <c r="E646" s="458"/>
      <c r="F646" s="458"/>
      <c r="G646" s="458"/>
      <c r="H646" s="458"/>
      <c r="I646" s="458"/>
      <c r="J646" s="458"/>
      <c r="K646" s="458"/>
      <c r="L646" s="458"/>
      <c r="M646" s="458"/>
      <c r="N646" s="458"/>
      <c r="O646" s="458"/>
      <c r="P646" s="458"/>
      <c r="Q646" s="458"/>
      <c r="R646" s="458"/>
      <c r="S646" s="458"/>
      <c r="T646" s="458"/>
      <c r="U646" s="458"/>
      <c r="V646" s="458"/>
      <c r="W646" s="458"/>
    </row>
    <row r="647" spans="1:23" ht="15.75" customHeight="1">
      <c r="A647" s="458"/>
      <c r="B647" s="458"/>
      <c r="C647" s="458"/>
      <c r="D647" s="458"/>
      <c r="E647" s="458"/>
      <c r="F647" s="458"/>
      <c r="G647" s="458"/>
      <c r="H647" s="458"/>
      <c r="I647" s="458"/>
      <c r="J647" s="458"/>
      <c r="K647" s="458"/>
      <c r="L647" s="458"/>
      <c r="M647" s="458"/>
      <c r="N647" s="458"/>
      <c r="O647" s="458"/>
      <c r="P647" s="458"/>
      <c r="Q647" s="458"/>
      <c r="R647" s="458"/>
      <c r="S647" s="458"/>
      <c r="T647" s="458"/>
      <c r="U647" s="458"/>
      <c r="V647" s="458"/>
      <c r="W647" s="458"/>
    </row>
    <row r="648" spans="1:23" ht="15.75" customHeight="1">
      <c r="A648" s="458"/>
      <c r="B648" s="458"/>
      <c r="C648" s="458"/>
      <c r="D648" s="458"/>
      <c r="E648" s="458"/>
      <c r="F648" s="458"/>
      <c r="G648" s="458"/>
      <c r="H648" s="458"/>
      <c r="I648" s="458"/>
      <c r="J648" s="458"/>
      <c r="K648" s="458"/>
      <c r="L648" s="458"/>
      <c r="M648" s="458"/>
      <c r="N648" s="458"/>
      <c r="O648" s="458"/>
      <c r="P648" s="458"/>
      <c r="Q648" s="458"/>
      <c r="R648" s="458"/>
      <c r="S648" s="458"/>
      <c r="T648" s="458"/>
      <c r="U648" s="458"/>
      <c r="V648" s="458"/>
      <c r="W648" s="458"/>
    </row>
    <row r="649" spans="1:23" ht="15.75" customHeight="1">
      <c r="A649" s="458"/>
      <c r="B649" s="458"/>
      <c r="C649" s="458"/>
      <c r="D649" s="458"/>
      <c r="E649" s="458"/>
      <c r="F649" s="458"/>
      <c r="G649" s="458"/>
      <c r="H649" s="458"/>
      <c r="I649" s="458"/>
      <c r="J649" s="458"/>
      <c r="K649" s="458"/>
      <c r="L649" s="458"/>
      <c r="M649" s="458"/>
      <c r="N649" s="458"/>
      <c r="O649" s="458"/>
      <c r="P649" s="458"/>
      <c r="Q649" s="458"/>
      <c r="R649" s="458"/>
      <c r="S649" s="458"/>
      <c r="T649" s="458"/>
      <c r="U649" s="458"/>
      <c r="V649" s="458"/>
      <c r="W649" s="458"/>
    </row>
    <row r="650" spans="1:23" ht="15.75" customHeight="1">
      <c r="A650" s="458"/>
      <c r="B650" s="458"/>
      <c r="C650" s="458"/>
      <c r="D650" s="458"/>
      <c r="E650" s="458"/>
      <c r="F650" s="458"/>
      <c r="G650" s="458"/>
      <c r="H650" s="458"/>
      <c r="I650" s="458"/>
      <c r="J650" s="458"/>
      <c r="K650" s="458"/>
      <c r="L650" s="458"/>
      <c r="M650" s="458"/>
      <c r="N650" s="458"/>
      <c r="O650" s="458"/>
      <c r="P650" s="458"/>
      <c r="Q650" s="458"/>
      <c r="R650" s="458"/>
      <c r="S650" s="458"/>
      <c r="T650" s="458"/>
      <c r="U650" s="458"/>
      <c r="V650" s="458"/>
      <c r="W650" s="458"/>
    </row>
    <row r="651" spans="1:23" ht="15.75" customHeight="1">
      <c r="A651" s="458"/>
      <c r="B651" s="458"/>
      <c r="C651" s="458"/>
      <c r="D651" s="458"/>
      <c r="E651" s="458"/>
      <c r="F651" s="458"/>
      <c r="G651" s="458"/>
      <c r="H651" s="458"/>
      <c r="I651" s="458"/>
      <c r="J651" s="458"/>
      <c r="K651" s="458"/>
      <c r="L651" s="458"/>
      <c r="M651" s="458"/>
      <c r="N651" s="458"/>
      <c r="O651" s="458"/>
      <c r="P651" s="458"/>
      <c r="Q651" s="458"/>
      <c r="R651" s="458"/>
      <c r="S651" s="458"/>
      <c r="T651" s="458"/>
      <c r="U651" s="458"/>
      <c r="V651" s="458"/>
      <c r="W651" s="458"/>
    </row>
    <row r="652" spans="1:23" ht="15.75" customHeight="1">
      <c r="A652" s="458"/>
      <c r="B652" s="458"/>
      <c r="C652" s="458"/>
      <c r="D652" s="458"/>
      <c r="E652" s="458"/>
      <c r="F652" s="458"/>
      <c r="G652" s="458"/>
      <c r="H652" s="458"/>
      <c r="I652" s="458"/>
      <c r="J652" s="458"/>
      <c r="K652" s="458"/>
      <c r="L652" s="458"/>
      <c r="M652" s="458"/>
      <c r="N652" s="458"/>
      <c r="O652" s="458"/>
      <c r="P652" s="458"/>
      <c r="Q652" s="458"/>
      <c r="R652" s="458"/>
      <c r="S652" s="458"/>
      <c r="T652" s="458"/>
      <c r="U652" s="458"/>
      <c r="V652" s="458"/>
      <c r="W652" s="458"/>
    </row>
    <row r="653" spans="1:23" ht="15.75" customHeight="1">
      <c r="A653" s="458"/>
      <c r="B653" s="458"/>
      <c r="C653" s="458"/>
      <c r="D653" s="458"/>
      <c r="E653" s="458"/>
      <c r="F653" s="458"/>
      <c r="G653" s="458"/>
      <c r="H653" s="458"/>
      <c r="I653" s="458"/>
      <c r="J653" s="458"/>
      <c r="K653" s="458"/>
      <c r="L653" s="458"/>
      <c r="M653" s="458"/>
      <c r="N653" s="458"/>
      <c r="O653" s="458"/>
      <c r="P653" s="458"/>
      <c r="Q653" s="458"/>
      <c r="R653" s="458"/>
      <c r="S653" s="458"/>
      <c r="T653" s="458"/>
      <c r="U653" s="458"/>
      <c r="V653" s="458"/>
      <c r="W653" s="458"/>
    </row>
    <row r="654" spans="1:23" ht="15.75" customHeight="1">
      <c r="A654" s="458"/>
      <c r="B654" s="458"/>
      <c r="C654" s="458"/>
      <c r="D654" s="458"/>
      <c r="E654" s="458"/>
      <c r="F654" s="458"/>
      <c r="G654" s="458"/>
      <c r="H654" s="458"/>
      <c r="I654" s="458"/>
      <c r="J654" s="458"/>
      <c r="K654" s="458"/>
      <c r="L654" s="458"/>
      <c r="M654" s="458"/>
      <c r="N654" s="458"/>
      <c r="O654" s="458"/>
      <c r="P654" s="458"/>
      <c r="Q654" s="458"/>
      <c r="R654" s="458"/>
      <c r="S654" s="458"/>
      <c r="T654" s="458"/>
      <c r="U654" s="458"/>
      <c r="V654" s="458"/>
      <c r="W654" s="458"/>
    </row>
    <row r="655" spans="1:23" ht="15.75" customHeight="1">
      <c r="A655" s="458"/>
      <c r="B655" s="458"/>
      <c r="C655" s="458"/>
      <c r="D655" s="458"/>
      <c r="E655" s="458"/>
      <c r="F655" s="458"/>
      <c r="G655" s="458"/>
      <c r="H655" s="458"/>
      <c r="I655" s="458"/>
      <c r="J655" s="458"/>
      <c r="K655" s="458"/>
      <c r="L655" s="458"/>
      <c r="M655" s="458"/>
      <c r="N655" s="458"/>
      <c r="O655" s="458"/>
      <c r="P655" s="458"/>
      <c r="Q655" s="458"/>
      <c r="R655" s="458"/>
      <c r="S655" s="458"/>
      <c r="T655" s="458"/>
      <c r="U655" s="458"/>
      <c r="V655" s="458"/>
      <c r="W655" s="458"/>
    </row>
    <row r="656" spans="1:23" ht="15.75" customHeight="1">
      <c r="A656" s="458"/>
      <c r="B656" s="458"/>
      <c r="C656" s="458"/>
      <c r="D656" s="458"/>
      <c r="E656" s="458"/>
      <c r="F656" s="458"/>
      <c r="G656" s="458"/>
      <c r="H656" s="458"/>
      <c r="I656" s="458"/>
      <c r="J656" s="458"/>
      <c r="K656" s="458"/>
      <c r="L656" s="458"/>
      <c r="M656" s="458"/>
      <c r="N656" s="458"/>
      <c r="O656" s="458"/>
      <c r="P656" s="458"/>
      <c r="Q656" s="458"/>
      <c r="R656" s="458"/>
      <c r="S656" s="458"/>
      <c r="T656" s="458"/>
      <c r="U656" s="458"/>
      <c r="V656" s="458"/>
      <c r="W656" s="458"/>
    </row>
    <row r="657" spans="1:23" ht="15.75" customHeight="1">
      <c r="A657" s="458"/>
      <c r="B657" s="458"/>
      <c r="C657" s="458"/>
      <c r="D657" s="458"/>
      <c r="E657" s="458"/>
      <c r="F657" s="458"/>
      <c r="G657" s="458"/>
      <c r="H657" s="458"/>
      <c r="I657" s="458"/>
      <c r="J657" s="458"/>
      <c r="K657" s="458"/>
      <c r="L657" s="458"/>
      <c r="M657" s="458"/>
      <c r="N657" s="458"/>
      <c r="O657" s="458"/>
      <c r="P657" s="458"/>
      <c r="Q657" s="458"/>
      <c r="R657" s="458"/>
      <c r="S657" s="458"/>
      <c r="T657" s="458"/>
      <c r="U657" s="458"/>
      <c r="V657" s="458"/>
      <c r="W657" s="458"/>
    </row>
    <row r="658" spans="1:23" ht="15.75" customHeight="1">
      <c r="A658" s="458"/>
      <c r="B658" s="458"/>
      <c r="C658" s="458"/>
      <c r="D658" s="458"/>
      <c r="E658" s="458"/>
      <c r="F658" s="458"/>
      <c r="G658" s="458"/>
      <c r="H658" s="458"/>
      <c r="I658" s="458"/>
      <c r="J658" s="458"/>
      <c r="K658" s="458"/>
      <c r="L658" s="458"/>
      <c r="M658" s="458"/>
      <c r="N658" s="458"/>
      <c r="O658" s="458"/>
      <c r="P658" s="458"/>
      <c r="Q658" s="458"/>
      <c r="R658" s="458"/>
      <c r="S658" s="458"/>
      <c r="T658" s="458"/>
      <c r="U658" s="458"/>
      <c r="V658" s="458"/>
      <c r="W658" s="458"/>
    </row>
    <row r="659" spans="1:23" ht="15.75" customHeight="1">
      <c r="A659" s="458"/>
      <c r="B659" s="458"/>
      <c r="C659" s="458"/>
      <c r="D659" s="458"/>
      <c r="E659" s="458"/>
      <c r="F659" s="458"/>
      <c r="G659" s="458"/>
      <c r="H659" s="458"/>
      <c r="I659" s="458"/>
      <c r="J659" s="458"/>
      <c r="K659" s="458"/>
      <c r="L659" s="458"/>
      <c r="M659" s="458"/>
      <c r="N659" s="458"/>
      <c r="O659" s="458"/>
      <c r="P659" s="458"/>
      <c r="Q659" s="458"/>
      <c r="R659" s="458"/>
      <c r="S659" s="458"/>
      <c r="T659" s="458"/>
      <c r="U659" s="458"/>
      <c r="V659" s="458"/>
      <c r="W659" s="458"/>
    </row>
    <row r="660" spans="1:23" ht="15.75" customHeight="1">
      <c r="A660" s="458"/>
      <c r="B660" s="458"/>
      <c r="C660" s="458"/>
      <c r="D660" s="458"/>
      <c r="E660" s="458"/>
      <c r="F660" s="458"/>
      <c r="G660" s="458"/>
      <c r="H660" s="458"/>
      <c r="I660" s="458"/>
      <c r="J660" s="458"/>
      <c r="K660" s="458"/>
      <c r="L660" s="458"/>
      <c r="M660" s="458"/>
      <c r="N660" s="458"/>
      <c r="O660" s="458"/>
      <c r="P660" s="458"/>
      <c r="Q660" s="458"/>
      <c r="R660" s="458"/>
      <c r="S660" s="458"/>
      <c r="T660" s="458"/>
      <c r="U660" s="458"/>
      <c r="V660" s="458"/>
      <c r="W660" s="458"/>
    </row>
    <row r="661" spans="1:23" ht="15.75" customHeight="1">
      <c r="A661" s="458"/>
      <c r="B661" s="458"/>
      <c r="C661" s="458"/>
      <c r="D661" s="458"/>
      <c r="E661" s="458"/>
      <c r="F661" s="458"/>
      <c r="G661" s="458"/>
      <c r="H661" s="458"/>
      <c r="I661" s="458"/>
      <c r="J661" s="458"/>
      <c r="K661" s="458"/>
      <c r="L661" s="458"/>
      <c r="M661" s="458"/>
      <c r="N661" s="458"/>
      <c r="O661" s="458"/>
      <c r="P661" s="458"/>
      <c r="Q661" s="458"/>
      <c r="R661" s="458"/>
      <c r="S661" s="458"/>
      <c r="T661" s="458"/>
      <c r="U661" s="458"/>
      <c r="V661" s="458"/>
      <c r="W661" s="458"/>
    </row>
    <row r="662" spans="1:23" ht="15.75" customHeight="1">
      <c r="A662" s="458"/>
      <c r="B662" s="458"/>
      <c r="C662" s="458"/>
      <c r="D662" s="458"/>
      <c r="E662" s="458"/>
      <c r="F662" s="458"/>
      <c r="G662" s="458"/>
      <c r="H662" s="458"/>
      <c r="I662" s="458"/>
      <c r="J662" s="458"/>
      <c r="K662" s="458"/>
      <c r="L662" s="458"/>
      <c r="M662" s="458"/>
      <c r="N662" s="458"/>
      <c r="O662" s="458"/>
      <c r="P662" s="458"/>
      <c r="Q662" s="458"/>
      <c r="R662" s="458"/>
      <c r="S662" s="458"/>
      <c r="T662" s="458"/>
      <c r="U662" s="458"/>
      <c r="V662" s="458"/>
      <c r="W662" s="458"/>
    </row>
    <row r="663" spans="1:23" ht="15.75" customHeight="1">
      <c r="A663" s="458"/>
      <c r="B663" s="458"/>
      <c r="C663" s="458"/>
      <c r="D663" s="458"/>
      <c r="E663" s="458"/>
      <c r="F663" s="458"/>
      <c r="G663" s="458"/>
      <c r="H663" s="458"/>
      <c r="I663" s="458"/>
      <c r="J663" s="458"/>
      <c r="K663" s="458"/>
      <c r="L663" s="458"/>
      <c r="M663" s="458"/>
      <c r="N663" s="458"/>
      <c r="O663" s="458"/>
      <c r="P663" s="458"/>
      <c r="Q663" s="458"/>
      <c r="R663" s="458"/>
      <c r="S663" s="458"/>
      <c r="T663" s="458"/>
      <c r="U663" s="458"/>
      <c r="V663" s="458"/>
      <c r="W663" s="458"/>
    </row>
    <row r="664" spans="1:23" ht="15.75" customHeight="1">
      <c r="A664" s="458"/>
      <c r="B664" s="458"/>
      <c r="C664" s="458"/>
      <c r="D664" s="458"/>
      <c r="E664" s="458"/>
      <c r="F664" s="458"/>
      <c r="G664" s="458"/>
      <c r="H664" s="458"/>
      <c r="I664" s="458"/>
      <c r="J664" s="458"/>
      <c r="K664" s="458"/>
      <c r="L664" s="458"/>
      <c r="M664" s="458"/>
      <c r="N664" s="458"/>
      <c r="O664" s="458"/>
      <c r="P664" s="458"/>
      <c r="Q664" s="458"/>
      <c r="R664" s="458"/>
      <c r="S664" s="458"/>
      <c r="T664" s="458"/>
      <c r="U664" s="458"/>
      <c r="V664" s="458"/>
      <c r="W664" s="458"/>
    </row>
    <row r="665" spans="1:23" ht="15.75" customHeight="1">
      <c r="A665" s="458"/>
      <c r="B665" s="458"/>
      <c r="C665" s="458"/>
      <c r="D665" s="458"/>
      <c r="E665" s="458"/>
      <c r="F665" s="458"/>
      <c r="G665" s="458"/>
      <c r="H665" s="458"/>
      <c r="I665" s="458"/>
      <c r="J665" s="458"/>
      <c r="K665" s="458"/>
      <c r="L665" s="458"/>
      <c r="M665" s="458"/>
      <c r="N665" s="458"/>
      <c r="O665" s="458"/>
      <c r="P665" s="458"/>
      <c r="Q665" s="458"/>
      <c r="R665" s="458"/>
      <c r="S665" s="458"/>
      <c r="T665" s="458"/>
      <c r="U665" s="458"/>
      <c r="V665" s="458"/>
      <c r="W665" s="458"/>
    </row>
    <row r="666" spans="1:23" ht="15.75" customHeight="1">
      <c r="A666" s="458"/>
      <c r="B666" s="458"/>
      <c r="C666" s="458"/>
      <c r="D666" s="458"/>
      <c r="E666" s="458"/>
      <c r="F666" s="458"/>
      <c r="G666" s="458"/>
      <c r="H666" s="458"/>
      <c r="I666" s="458"/>
      <c r="J666" s="458"/>
      <c r="K666" s="458"/>
      <c r="L666" s="458"/>
      <c r="M666" s="458"/>
      <c r="N666" s="458"/>
      <c r="O666" s="458"/>
      <c r="P666" s="458"/>
      <c r="Q666" s="458"/>
      <c r="R666" s="458"/>
      <c r="S666" s="458"/>
      <c r="T666" s="458"/>
      <c r="U666" s="458"/>
      <c r="V666" s="458"/>
      <c r="W666" s="458"/>
    </row>
    <row r="667" spans="1:23" ht="15.75" customHeight="1">
      <c r="A667" s="458"/>
      <c r="B667" s="458"/>
      <c r="C667" s="458"/>
      <c r="D667" s="458"/>
      <c r="E667" s="458"/>
      <c r="F667" s="458"/>
      <c r="G667" s="458"/>
      <c r="H667" s="458"/>
      <c r="I667" s="458"/>
      <c r="J667" s="458"/>
      <c r="K667" s="458"/>
      <c r="L667" s="458"/>
      <c r="M667" s="458"/>
      <c r="N667" s="458"/>
      <c r="O667" s="458"/>
      <c r="P667" s="458"/>
      <c r="Q667" s="458"/>
      <c r="R667" s="458"/>
      <c r="S667" s="458"/>
      <c r="T667" s="458"/>
      <c r="U667" s="458"/>
      <c r="V667" s="458"/>
      <c r="W667" s="458"/>
    </row>
    <row r="668" spans="1:23" ht="15.75" customHeight="1">
      <c r="A668" s="458"/>
      <c r="B668" s="458"/>
      <c r="C668" s="458"/>
      <c r="D668" s="458"/>
      <c r="E668" s="458"/>
      <c r="F668" s="458"/>
      <c r="G668" s="458"/>
      <c r="H668" s="458"/>
      <c r="I668" s="458"/>
      <c r="J668" s="458"/>
      <c r="K668" s="458"/>
      <c r="L668" s="458"/>
      <c r="M668" s="458"/>
      <c r="N668" s="458"/>
      <c r="O668" s="458"/>
      <c r="P668" s="458"/>
      <c r="Q668" s="458"/>
      <c r="R668" s="458"/>
      <c r="S668" s="458"/>
      <c r="T668" s="458"/>
      <c r="U668" s="458"/>
      <c r="V668" s="458"/>
      <c r="W668" s="458"/>
    </row>
    <row r="669" spans="1:23" ht="15.75" customHeight="1">
      <c r="A669" s="458"/>
      <c r="B669" s="458"/>
      <c r="C669" s="458"/>
      <c r="D669" s="458"/>
      <c r="E669" s="458"/>
      <c r="F669" s="458"/>
      <c r="G669" s="458"/>
      <c r="H669" s="458"/>
      <c r="I669" s="458"/>
      <c r="J669" s="458"/>
      <c r="K669" s="458"/>
      <c r="L669" s="458"/>
      <c r="M669" s="458"/>
      <c r="N669" s="458"/>
      <c r="O669" s="458"/>
      <c r="P669" s="458"/>
      <c r="Q669" s="458"/>
      <c r="R669" s="458"/>
      <c r="S669" s="458"/>
      <c r="T669" s="458"/>
      <c r="U669" s="458"/>
      <c r="V669" s="458"/>
      <c r="W669" s="458"/>
    </row>
    <row r="670" spans="1:23" ht="15.75" customHeight="1">
      <c r="A670" s="458"/>
      <c r="B670" s="458"/>
      <c r="C670" s="458"/>
      <c r="D670" s="458"/>
      <c r="E670" s="458"/>
      <c r="F670" s="458"/>
      <c r="G670" s="458"/>
      <c r="H670" s="458"/>
      <c r="I670" s="458"/>
      <c r="J670" s="458"/>
      <c r="K670" s="458"/>
      <c r="L670" s="458"/>
      <c r="M670" s="458"/>
      <c r="N670" s="458"/>
      <c r="O670" s="458"/>
      <c r="P670" s="458"/>
      <c r="Q670" s="458"/>
      <c r="R670" s="458"/>
      <c r="S670" s="458"/>
      <c r="T670" s="458"/>
      <c r="U670" s="458"/>
      <c r="V670" s="458"/>
      <c r="W670" s="458"/>
    </row>
    <row r="671" spans="1:23" ht="15.75" customHeight="1">
      <c r="A671" s="458"/>
      <c r="B671" s="458"/>
      <c r="C671" s="458"/>
      <c r="D671" s="458"/>
      <c r="E671" s="458"/>
      <c r="F671" s="458"/>
      <c r="G671" s="458"/>
      <c r="H671" s="458"/>
      <c r="I671" s="458"/>
      <c r="J671" s="458"/>
      <c r="K671" s="458"/>
      <c r="L671" s="458"/>
      <c r="M671" s="458"/>
      <c r="N671" s="458"/>
      <c r="O671" s="458"/>
      <c r="P671" s="458"/>
      <c r="Q671" s="458"/>
      <c r="R671" s="458"/>
      <c r="S671" s="458"/>
      <c r="T671" s="458"/>
      <c r="U671" s="458"/>
      <c r="V671" s="458"/>
      <c r="W671" s="458"/>
    </row>
    <row r="672" spans="1:23" ht="15.75" customHeight="1">
      <c r="A672" s="458"/>
      <c r="B672" s="458"/>
      <c r="C672" s="458"/>
      <c r="D672" s="458"/>
      <c r="E672" s="458"/>
      <c r="F672" s="458"/>
      <c r="G672" s="458"/>
      <c r="H672" s="458"/>
      <c r="I672" s="458"/>
      <c r="J672" s="458"/>
      <c r="K672" s="458"/>
      <c r="L672" s="458"/>
      <c r="M672" s="458"/>
      <c r="N672" s="458"/>
      <c r="O672" s="458"/>
      <c r="P672" s="458"/>
      <c r="Q672" s="458"/>
      <c r="R672" s="458"/>
      <c r="S672" s="458"/>
      <c r="T672" s="458"/>
      <c r="U672" s="458"/>
      <c r="V672" s="458"/>
      <c r="W672" s="458"/>
    </row>
    <row r="673" spans="1:23" ht="15.75" customHeight="1">
      <c r="A673" s="458"/>
      <c r="B673" s="458"/>
      <c r="C673" s="458"/>
      <c r="D673" s="458"/>
      <c r="E673" s="458"/>
      <c r="F673" s="458"/>
      <c r="G673" s="458"/>
      <c r="H673" s="458"/>
      <c r="I673" s="458"/>
      <c r="J673" s="458"/>
      <c r="K673" s="458"/>
      <c r="L673" s="458"/>
      <c r="M673" s="458"/>
      <c r="N673" s="458"/>
      <c r="O673" s="458"/>
      <c r="P673" s="458"/>
      <c r="Q673" s="458"/>
      <c r="R673" s="458"/>
      <c r="S673" s="458"/>
      <c r="T673" s="458"/>
      <c r="U673" s="458"/>
      <c r="V673" s="458"/>
      <c r="W673" s="458"/>
    </row>
    <row r="674" spans="1:23" ht="15.75" customHeight="1">
      <c r="A674" s="458"/>
      <c r="B674" s="458"/>
      <c r="C674" s="458"/>
      <c r="D674" s="458"/>
      <c r="E674" s="458"/>
      <c r="F674" s="458"/>
      <c r="G674" s="458"/>
      <c r="H674" s="458"/>
      <c r="I674" s="458"/>
      <c r="J674" s="458"/>
      <c r="K674" s="458"/>
      <c r="L674" s="458"/>
      <c r="M674" s="458"/>
      <c r="N674" s="458"/>
      <c r="O674" s="458"/>
      <c r="P674" s="458"/>
      <c r="Q674" s="458"/>
      <c r="R674" s="458"/>
      <c r="S674" s="458"/>
      <c r="T674" s="458"/>
      <c r="U674" s="458"/>
      <c r="V674" s="458"/>
      <c r="W674" s="458"/>
    </row>
    <row r="675" spans="1:23" ht="15.75" customHeight="1">
      <c r="A675" s="458"/>
      <c r="B675" s="458"/>
      <c r="C675" s="458"/>
      <c r="D675" s="458"/>
      <c r="E675" s="458"/>
      <c r="F675" s="458"/>
      <c r="G675" s="458"/>
      <c r="H675" s="458"/>
      <c r="I675" s="458"/>
      <c r="J675" s="458"/>
      <c r="K675" s="458"/>
      <c r="L675" s="458"/>
      <c r="M675" s="458"/>
      <c r="N675" s="458"/>
      <c r="O675" s="458"/>
      <c r="P675" s="458"/>
      <c r="Q675" s="458"/>
      <c r="R675" s="458"/>
      <c r="S675" s="458"/>
      <c r="T675" s="458"/>
      <c r="U675" s="458"/>
      <c r="V675" s="458"/>
      <c r="W675" s="458"/>
    </row>
    <row r="676" spans="1:23" ht="15.75" customHeight="1">
      <c r="A676" s="458"/>
      <c r="B676" s="458"/>
      <c r="C676" s="458"/>
      <c r="D676" s="458"/>
      <c r="E676" s="458"/>
      <c r="F676" s="458"/>
      <c r="G676" s="458"/>
      <c r="H676" s="458"/>
      <c r="I676" s="458"/>
      <c r="J676" s="458"/>
      <c r="K676" s="458"/>
      <c r="L676" s="458"/>
      <c r="M676" s="458"/>
      <c r="N676" s="458"/>
      <c r="O676" s="458"/>
      <c r="P676" s="458"/>
      <c r="Q676" s="458"/>
      <c r="R676" s="458"/>
      <c r="S676" s="458"/>
      <c r="T676" s="458"/>
      <c r="U676" s="458"/>
      <c r="V676" s="458"/>
      <c r="W676" s="458"/>
    </row>
    <row r="677" spans="1:23" ht="15.75" customHeight="1">
      <c r="A677" s="458"/>
      <c r="B677" s="458"/>
      <c r="C677" s="458"/>
      <c r="D677" s="458"/>
      <c r="E677" s="458"/>
      <c r="F677" s="458"/>
      <c r="G677" s="458"/>
      <c r="H677" s="458"/>
      <c r="I677" s="458"/>
      <c r="J677" s="458"/>
      <c r="K677" s="458"/>
      <c r="L677" s="458"/>
      <c r="M677" s="458"/>
      <c r="N677" s="458"/>
      <c r="O677" s="458"/>
      <c r="P677" s="458"/>
      <c r="Q677" s="458"/>
      <c r="R677" s="458"/>
      <c r="S677" s="458"/>
      <c r="T677" s="458"/>
      <c r="U677" s="458"/>
      <c r="V677" s="458"/>
      <c r="W677" s="458"/>
    </row>
    <row r="678" spans="1:23" ht="15.75" customHeight="1">
      <c r="A678" s="458"/>
      <c r="B678" s="458"/>
      <c r="C678" s="458"/>
      <c r="D678" s="458"/>
      <c r="E678" s="458"/>
      <c r="F678" s="458"/>
      <c r="G678" s="458"/>
      <c r="H678" s="458"/>
      <c r="I678" s="458"/>
      <c r="J678" s="458"/>
      <c r="K678" s="458"/>
      <c r="L678" s="458"/>
      <c r="M678" s="458"/>
      <c r="N678" s="458"/>
      <c r="O678" s="458"/>
      <c r="P678" s="458"/>
      <c r="Q678" s="458"/>
      <c r="R678" s="458"/>
      <c r="S678" s="458"/>
      <c r="T678" s="458"/>
      <c r="U678" s="458"/>
      <c r="V678" s="458"/>
      <c r="W678" s="458"/>
    </row>
    <row r="679" spans="1:23" ht="15.75" customHeight="1">
      <c r="A679" s="458"/>
      <c r="B679" s="458"/>
      <c r="C679" s="458"/>
      <c r="D679" s="458"/>
      <c r="E679" s="458"/>
      <c r="F679" s="458"/>
      <c r="G679" s="458"/>
      <c r="H679" s="458"/>
      <c r="I679" s="458"/>
      <c r="J679" s="458"/>
      <c r="K679" s="458"/>
      <c r="L679" s="458"/>
      <c r="M679" s="458"/>
      <c r="N679" s="458"/>
      <c r="O679" s="458"/>
      <c r="P679" s="458"/>
      <c r="Q679" s="458"/>
      <c r="R679" s="458"/>
      <c r="S679" s="458"/>
      <c r="T679" s="458"/>
      <c r="U679" s="458"/>
      <c r="V679" s="458"/>
      <c r="W679" s="458"/>
    </row>
    <row r="680" spans="1:23" ht="15.75" customHeight="1">
      <c r="A680" s="458"/>
      <c r="B680" s="458"/>
      <c r="C680" s="458"/>
      <c r="D680" s="458"/>
      <c r="E680" s="458"/>
      <c r="F680" s="458"/>
      <c r="G680" s="458"/>
      <c r="H680" s="458"/>
      <c r="I680" s="458"/>
      <c r="J680" s="458"/>
      <c r="K680" s="458"/>
      <c r="L680" s="458"/>
      <c r="M680" s="458"/>
      <c r="N680" s="458"/>
      <c r="O680" s="458"/>
      <c r="P680" s="458"/>
      <c r="Q680" s="458"/>
      <c r="R680" s="458"/>
      <c r="S680" s="458"/>
      <c r="T680" s="458"/>
      <c r="U680" s="458"/>
      <c r="V680" s="458"/>
      <c r="W680" s="458"/>
    </row>
    <row r="681" spans="1:23" ht="15.75" customHeight="1">
      <c r="A681" s="458"/>
      <c r="B681" s="458"/>
      <c r="C681" s="458"/>
      <c r="D681" s="458"/>
      <c r="E681" s="458"/>
      <c r="F681" s="458"/>
      <c r="G681" s="458"/>
      <c r="H681" s="458"/>
      <c r="I681" s="458"/>
      <c r="J681" s="458"/>
      <c r="K681" s="458"/>
      <c r="L681" s="458"/>
      <c r="M681" s="458"/>
      <c r="N681" s="458"/>
      <c r="O681" s="458"/>
      <c r="P681" s="458"/>
      <c r="Q681" s="458"/>
      <c r="R681" s="458"/>
      <c r="S681" s="458"/>
      <c r="T681" s="458"/>
      <c r="U681" s="458"/>
      <c r="V681" s="458"/>
      <c r="W681" s="458"/>
    </row>
    <row r="682" spans="1:23" ht="15.75" customHeight="1">
      <c r="A682" s="458"/>
      <c r="B682" s="458"/>
      <c r="C682" s="458"/>
      <c r="D682" s="458"/>
      <c r="E682" s="458"/>
      <c r="F682" s="458"/>
      <c r="G682" s="458"/>
      <c r="H682" s="458"/>
      <c r="I682" s="458"/>
      <c r="J682" s="458"/>
      <c r="K682" s="458"/>
      <c r="L682" s="458"/>
      <c r="M682" s="458"/>
      <c r="N682" s="458"/>
      <c r="O682" s="458"/>
      <c r="P682" s="458"/>
      <c r="Q682" s="458"/>
      <c r="R682" s="458"/>
      <c r="S682" s="458"/>
      <c r="T682" s="458"/>
      <c r="U682" s="458"/>
      <c r="V682" s="458"/>
      <c r="W682" s="458"/>
    </row>
    <row r="683" spans="1:23" ht="15.75" customHeight="1">
      <c r="A683" s="458"/>
      <c r="B683" s="458"/>
      <c r="C683" s="458"/>
      <c r="D683" s="458"/>
      <c r="E683" s="458"/>
      <c r="F683" s="458"/>
      <c r="G683" s="458"/>
      <c r="H683" s="458"/>
      <c r="I683" s="458"/>
      <c r="J683" s="458"/>
      <c r="K683" s="458"/>
      <c r="L683" s="458"/>
      <c r="M683" s="458"/>
      <c r="N683" s="458"/>
      <c r="O683" s="458"/>
      <c r="P683" s="458"/>
      <c r="Q683" s="458"/>
      <c r="R683" s="458"/>
      <c r="S683" s="458"/>
      <c r="T683" s="458"/>
      <c r="U683" s="458"/>
      <c r="V683" s="458"/>
      <c r="W683" s="458"/>
    </row>
    <row r="684" spans="1:23" ht="15.75" customHeight="1">
      <c r="A684" s="458"/>
      <c r="B684" s="458"/>
      <c r="C684" s="458"/>
      <c r="D684" s="458"/>
      <c r="E684" s="458"/>
      <c r="F684" s="458"/>
      <c r="G684" s="458"/>
      <c r="H684" s="458"/>
      <c r="I684" s="458"/>
      <c r="J684" s="458"/>
      <c r="K684" s="458"/>
      <c r="L684" s="458"/>
      <c r="M684" s="458"/>
      <c r="N684" s="458"/>
      <c r="O684" s="458"/>
      <c r="P684" s="458"/>
      <c r="Q684" s="458"/>
      <c r="R684" s="458"/>
      <c r="S684" s="458"/>
      <c r="T684" s="458"/>
      <c r="U684" s="458"/>
      <c r="V684" s="458"/>
      <c r="W684" s="458"/>
    </row>
    <row r="685" spans="1:23" ht="15.75" customHeight="1">
      <c r="A685" s="458"/>
      <c r="B685" s="458"/>
      <c r="C685" s="458"/>
      <c r="D685" s="458"/>
      <c r="E685" s="458"/>
      <c r="F685" s="458"/>
      <c r="G685" s="458"/>
      <c r="H685" s="458"/>
      <c r="I685" s="458"/>
      <c r="J685" s="458"/>
      <c r="K685" s="458"/>
      <c r="L685" s="458"/>
      <c r="M685" s="458"/>
      <c r="N685" s="458"/>
      <c r="O685" s="458"/>
      <c r="P685" s="458"/>
      <c r="Q685" s="458"/>
      <c r="R685" s="458"/>
      <c r="S685" s="458"/>
      <c r="T685" s="458"/>
      <c r="U685" s="458"/>
      <c r="V685" s="458"/>
      <c r="W685" s="458"/>
    </row>
    <row r="686" spans="1:23" ht="15.75" customHeight="1">
      <c r="A686" s="458"/>
      <c r="B686" s="458"/>
      <c r="C686" s="458"/>
      <c r="D686" s="458"/>
      <c r="E686" s="458"/>
      <c r="F686" s="458"/>
      <c r="G686" s="458"/>
      <c r="H686" s="458"/>
      <c r="I686" s="458"/>
      <c r="J686" s="458"/>
      <c r="K686" s="458"/>
      <c r="L686" s="458"/>
      <c r="M686" s="458"/>
      <c r="N686" s="458"/>
      <c r="O686" s="458"/>
      <c r="P686" s="458"/>
      <c r="Q686" s="458"/>
      <c r="R686" s="458"/>
      <c r="S686" s="458"/>
      <c r="T686" s="458"/>
      <c r="U686" s="458"/>
      <c r="V686" s="458"/>
      <c r="W686" s="458"/>
    </row>
    <row r="687" spans="1:23" ht="15.75" customHeight="1">
      <c r="A687" s="458"/>
      <c r="B687" s="458"/>
      <c r="C687" s="458"/>
      <c r="D687" s="458"/>
      <c r="E687" s="458"/>
      <c r="F687" s="458"/>
      <c r="G687" s="458"/>
      <c r="H687" s="458"/>
      <c r="I687" s="458"/>
      <c r="J687" s="458"/>
      <c r="K687" s="458"/>
      <c r="L687" s="458"/>
      <c r="M687" s="458"/>
      <c r="N687" s="458"/>
      <c r="O687" s="458"/>
      <c r="P687" s="458"/>
      <c r="Q687" s="458"/>
      <c r="R687" s="458"/>
      <c r="S687" s="458"/>
      <c r="T687" s="458"/>
      <c r="U687" s="458"/>
      <c r="V687" s="458"/>
      <c r="W687" s="458"/>
    </row>
    <row r="688" spans="1:23" ht="15.75" customHeight="1">
      <c r="A688" s="458"/>
      <c r="B688" s="458"/>
      <c r="C688" s="458"/>
      <c r="D688" s="458"/>
      <c r="E688" s="458"/>
      <c r="F688" s="458"/>
      <c r="G688" s="458"/>
      <c r="H688" s="458"/>
      <c r="I688" s="458"/>
      <c r="J688" s="458"/>
      <c r="K688" s="458"/>
      <c r="L688" s="458"/>
      <c r="M688" s="458"/>
      <c r="N688" s="458"/>
      <c r="O688" s="458"/>
      <c r="P688" s="458"/>
      <c r="Q688" s="458"/>
      <c r="R688" s="458"/>
      <c r="S688" s="458"/>
      <c r="T688" s="458"/>
      <c r="U688" s="458"/>
      <c r="V688" s="458"/>
      <c r="W688" s="458"/>
    </row>
    <row r="689" spans="1:23" ht="15.75" customHeight="1">
      <c r="A689" s="458"/>
      <c r="B689" s="458"/>
      <c r="C689" s="458"/>
      <c r="D689" s="458"/>
      <c r="E689" s="458"/>
      <c r="F689" s="458"/>
      <c r="G689" s="458"/>
      <c r="H689" s="458"/>
      <c r="I689" s="458"/>
      <c r="J689" s="458"/>
      <c r="K689" s="458"/>
      <c r="L689" s="458"/>
      <c r="M689" s="458"/>
      <c r="N689" s="458"/>
      <c r="O689" s="458"/>
      <c r="P689" s="458"/>
      <c r="Q689" s="458"/>
      <c r="R689" s="458"/>
      <c r="S689" s="458"/>
      <c r="T689" s="458"/>
      <c r="U689" s="458"/>
      <c r="V689" s="458"/>
      <c r="W689" s="458"/>
    </row>
    <row r="690" spans="1:23" ht="15.75" customHeight="1">
      <c r="A690" s="458"/>
      <c r="B690" s="458"/>
      <c r="C690" s="458"/>
      <c r="D690" s="458"/>
      <c r="E690" s="458"/>
      <c r="F690" s="458"/>
      <c r="G690" s="458"/>
      <c r="H690" s="458"/>
      <c r="I690" s="458"/>
      <c r="J690" s="458"/>
      <c r="K690" s="458"/>
      <c r="L690" s="458"/>
      <c r="M690" s="458"/>
      <c r="N690" s="458"/>
      <c r="O690" s="458"/>
      <c r="P690" s="458"/>
      <c r="Q690" s="458"/>
      <c r="R690" s="458"/>
      <c r="S690" s="458"/>
      <c r="T690" s="458"/>
      <c r="U690" s="458"/>
      <c r="V690" s="458"/>
      <c r="W690" s="458"/>
    </row>
    <row r="691" spans="1:23" ht="15.75" customHeight="1">
      <c r="A691" s="458"/>
      <c r="B691" s="458"/>
      <c r="C691" s="458"/>
      <c r="D691" s="458"/>
      <c r="E691" s="458"/>
      <c r="F691" s="458"/>
      <c r="G691" s="458"/>
      <c r="H691" s="458"/>
      <c r="I691" s="458"/>
      <c r="J691" s="458"/>
      <c r="K691" s="458"/>
      <c r="L691" s="458"/>
      <c r="M691" s="458"/>
      <c r="N691" s="458"/>
      <c r="O691" s="458"/>
      <c r="P691" s="458"/>
      <c r="Q691" s="458"/>
      <c r="R691" s="458"/>
      <c r="S691" s="458"/>
      <c r="T691" s="458"/>
      <c r="U691" s="458"/>
      <c r="V691" s="458"/>
      <c r="W691" s="458"/>
    </row>
    <row r="692" spans="1:23" ht="15.75" customHeight="1">
      <c r="A692" s="458"/>
      <c r="B692" s="458"/>
      <c r="C692" s="458"/>
      <c r="D692" s="458"/>
      <c r="E692" s="458"/>
      <c r="F692" s="458"/>
      <c r="G692" s="458"/>
      <c r="H692" s="458"/>
      <c r="I692" s="458"/>
      <c r="J692" s="458"/>
      <c r="K692" s="458"/>
      <c r="L692" s="458"/>
      <c r="M692" s="458"/>
      <c r="N692" s="458"/>
      <c r="O692" s="458"/>
      <c r="P692" s="458"/>
      <c r="Q692" s="458"/>
      <c r="R692" s="458"/>
      <c r="S692" s="458"/>
      <c r="T692" s="458"/>
      <c r="U692" s="458"/>
      <c r="V692" s="458"/>
      <c r="W692" s="458"/>
    </row>
    <row r="693" spans="1:23" ht="15.75" customHeight="1">
      <c r="A693" s="458"/>
      <c r="B693" s="458"/>
      <c r="C693" s="458"/>
      <c r="D693" s="458"/>
      <c r="E693" s="458"/>
      <c r="F693" s="458"/>
      <c r="G693" s="458"/>
      <c r="H693" s="458"/>
      <c r="I693" s="458"/>
      <c r="J693" s="458"/>
      <c r="K693" s="458"/>
      <c r="L693" s="458"/>
      <c r="M693" s="458"/>
      <c r="N693" s="458"/>
      <c r="O693" s="458"/>
      <c r="P693" s="458"/>
      <c r="Q693" s="458"/>
      <c r="R693" s="458"/>
      <c r="S693" s="458"/>
      <c r="T693" s="458"/>
      <c r="U693" s="458"/>
      <c r="V693" s="458"/>
      <c r="W693" s="458"/>
    </row>
    <row r="694" spans="1:23" ht="15.75" customHeight="1">
      <c r="A694" s="458"/>
      <c r="B694" s="458"/>
      <c r="C694" s="458"/>
      <c r="D694" s="458"/>
      <c r="E694" s="458"/>
      <c r="F694" s="458"/>
      <c r="G694" s="458"/>
      <c r="H694" s="458"/>
      <c r="I694" s="458"/>
      <c r="J694" s="458"/>
      <c r="K694" s="458"/>
      <c r="L694" s="458"/>
      <c r="M694" s="458"/>
      <c r="N694" s="458"/>
      <c r="O694" s="458"/>
      <c r="P694" s="458"/>
      <c r="Q694" s="458"/>
      <c r="R694" s="458"/>
      <c r="S694" s="458"/>
      <c r="T694" s="458"/>
      <c r="U694" s="458"/>
      <c r="V694" s="458"/>
      <c r="W694" s="458"/>
    </row>
    <row r="695" spans="1:23" ht="15.75" customHeight="1">
      <c r="A695" s="458"/>
      <c r="B695" s="458"/>
      <c r="C695" s="458"/>
      <c r="D695" s="458"/>
      <c r="E695" s="458"/>
      <c r="F695" s="458"/>
      <c r="G695" s="458"/>
      <c r="H695" s="458"/>
      <c r="I695" s="458"/>
      <c r="J695" s="458"/>
      <c r="K695" s="458"/>
      <c r="L695" s="458"/>
      <c r="M695" s="458"/>
      <c r="N695" s="458"/>
      <c r="O695" s="458"/>
      <c r="P695" s="458"/>
      <c r="Q695" s="458"/>
      <c r="R695" s="458"/>
      <c r="S695" s="458"/>
      <c r="T695" s="458"/>
      <c r="U695" s="458"/>
      <c r="V695" s="458"/>
      <c r="W695" s="458"/>
    </row>
    <row r="696" spans="1:23" ht="15.75" customHeight="1">
      <c r="A696" s="458"/>
      <c r="B696" s="458"/>
      <c r="C696" s="458"/>
      <c r="D696" s="458"/>
      <c r="E696" s="458"/>
      <c r="F696" s="458"/>
      <c r="G696" s="458"/>
      <c r="H696" s="458"/>
      <c r="I696" s="458"/>
      <c r="J696" s="458"/>
      <c r="K696" s="458"/>
      <c r="L696" s="458"/>
      <c r="M696" s="458"/>
      <c r="N696" s="458"/>
      <c r="O696" s="458"/>
      <c r="P696" s="458"/>
      <c r="Q696" s="458"/>
      <c r="R696" s="458"/>
      <c r="S696" s="458"/>
      <c r="T696" s="458"/>
      <c r="U696" s="458"/>
      <c r="V696" s="458"/>
      <c r="W696" s="458"/>
    </row>
    <row r="697" spans="1:23" ht="15.75" customHeight="1">
      <c r="A697" s="458"/>
      <c r="B697" s="458"/>
      <c r="C697" s="458"/>
      <c r="D697" s="458"/>
      <c r="E697" s="458"/>
      <c r="F697" s="458"/>
      <c r="G697" s="458"/>
      <c r="H697" s="458"/>
      <c r="I697" s="458"/>
      <c r="J697" s="458"/>
      <c r="K697" s="458"/>
      <c r="L697" s="458"/>
      <c r="M697" s="458"/>
      <c r="N697" s="458"/>
      <c r="O697" s="458"/>
      <c r="P697" s="458"/>
      <c r="Q697" s="458"/>
      <c r="R697" s="458"/>
      <c r="S697" s="458"/>
      <c r="T697" s="458"/>
      <c r="U697" s="458"/>
      <c r="V697" s="458"/>
      <c r="W697" s="458"/>
    </row>
    <row r="698" spans="1:23" ht="15.75" customHeight="1">
      <c r="A698" s="458"/>
      <c r="B698" s="458"/>
      <c r="C698" s="458"/>
      <c r="D698" s="458"/>
      <c r="E698" s="458"/>
      <c r="F698" s="458"/>
      <c r="G698" s="458"/>
      <c r="H698" s="458"/>
      <c r="I698" s="458"/>
      <c r="J698" s="458"/>
      <c r="K698" s="458"/>
      <c r="L698" s="458"/>
      <c r="M698" s="458"/>
      <c r="N698" s="458"/>
      <c r="O698" s="458"/>
      <c r="P698" s="458"/>
      <c r="Q698" s="458"/>
      <c r="R698" s="458"/>
      <c r="S698" s="458"/>
      <c r="T698" s="458"/>
      <c r="U698" s="458"/>
      <c r="V698" s="458"/>
      <c r="W698" s="458"/>
    </row>
    <row r="699" spans="1:23" ht="15.75" customHeight="1">
      <c r="A699" s="458"/>
      <c r="B699" s="458"/>
      <c r="C699" s="458"/>
      <c r="D699" s="458"/>
      <c r="E699" s="458"/>
      <c r="F699" s="458"/>
      <c r="G699" s="458"/>
      <c r="H699" s="458"/>
      <c r="I699" s="458"/>
      <c r="J699" s="458"/>
      <c r="K699" s="458"/>
      <c r="L699" s="458"/>
      <c r="M699" s="458"/>
      <c r="N699" s="458"/>
      <c r="O699" s="458"/>
      <c r="P699" s="458"/>
      <c r="Q699" s="458"/>
      <c r="R699" s="458"/>
      <c r="S699" s="458"/>
      <c r="T699" s="458"/>
      <c r="U699" s="458"/>
      <c r="V699" s="458"/>
      <c r="W699" s="458"/>
    </row>
    <row r="700" spans="1:23" ht="15.75" customHeight="1">
      <c r="A700" s="458"/>
      <c r="B700" s="458"/>
      <c r="C700" s="458"/>
      <c r="D700" s="458"/>
      <c r="E700" s="458"/>
      <c r="F700" s="458"/>
      <c r="G700" s="458"/>
      <c r="H700" s="458"/>
      <c r="I700" s="458"/>
      <c r="J700" s="458"/>
      <c r="K700" s="458"/>
      <c r="L700" s="458"/>
      <c r="M700" s="458"/>
      <c r="N700" s="458"/>
      <c r="O700" s="458"/>
      <c r="P700" s="458"/>
      <c r="Q700" s="458"/>
      <c r="R700" s="458"/>
      <c r="S700" s="458"/>
      <c r="T700" s="458"/>
      <c r="U700" s="458"/>
      <c r="V700" s="458"/>
      <c r="W700" s="458"/>
    </row>
    <row r="701" spans="1:23" ht="15.75" customHeight="1">
      <c r="A701" s="458"/>
      <c r="B701" s="458"/>
      <c r="C701" s="458"/>
      <c r="D701" s="458"/>
      <c r="E701" s="458"/>
      <c r="F701" s="458"/>
      <c r="G701" s="458"/>
      <c r="H701" s="458"/>
      <c r="I701" s="458"/>
      <c r="J701" s="458"/>
      <c r="K701" s="458"/>
      <c r="L701" s="458"/>
      <c r="M701" s="458"/>
      <c r="N701" s="458"/>
      <c r="O701" s="458"/>
      <c r="P701" s="458"/>
      <c r="Q701" s="458"/>
      <c r="R701" s="458"/>
      <c r="S701" s="458"/>
      <c r="T701" s="458"/>
      <c r="U701" s="458"/>
      <c r="V701" s="458"/>
      <c r="W701" s="458"/>
    </row>
    <row r="702" spans="1:23" ht="15.75" customHeight="1">
      <c r="A702" s="458"/>
      <c r="B702" s="458"/>
      <c r="C702" s="458"/>
      <c r="D702" s="458"/>
      <c r="E702" s="458"/>
      <c r="F702" s="458"/>
      <c r="G702" s="458"/>
      <c r="H702" s="458"/>
      <c r="I702" s="458"/>
      <c r="J702" s="458"/>
      <c r="K702" s="458"/>
      <c r="L702" s="458"/>
      <c r="M702" s="458"/>
      <c r="N702" s="458"/>
      <c r="O702" s="458"/>
      <c r="P702" s="458"/>
      <c r="Q702" s="458"/>
      <c r="R702" s="458"/>
      <c r="S702" s="458"/>
      <c r="T702" s="458"/>
      <c r="U702" s="458"/>
      <c r="V702" s="458"/>
      <c r="W702" s="458"/>
    </row>
    <row r="703" spans="1:23" ht="15.75" customHeight="1">
      <c r="A703" s="458"/>
      <c r="B703" s="458"/>
      <c r="C703" s="458"/>
      <c r="D703" s="458"/>
      <c r="E703" s="458"/>
      <c r="F703" s="458"/>
      <c r="G703" s="458"/>
      <c r="H703" s="458"/>
      <c r="I703" s="458"/>
      <c r="J703" s="458"/>
      <c r="K703" s="458"/>
      <c r="L703" s="458"/>
      <c r="M703" s="458"/>
      <c r="N703" s="458"/>
      <c r="O703" s="458"/>
      <c r="P703" s="458"/>
      <c r="Q703" s="458"/>
      <c r="R703" s="458"/>
      <c r="S703" s="458"/>
      <c r="T703" s="458"/>
      <c r="U703" s="458"/>
      <c r="V703" s="458"/>
      <c r="W703" s="458"/>
    </row>
    <row r="704" spans="1:23" ht="15.75" customHeight="1">
      <c r="A704" s="458"/>
      <c r="B704" s="458"/>
      <c r="C704" s="458"/>
      <c r="D704" s="458"/>
      <c r="E704" s="458"/>
      <c r="F704" s="458"/>
      <c r="G704" s="458"/>
      <c r="H704" s="458"/>
      <c r="I704" s="458"/>
      <c r="J704" s="458"/>
      <c r="K704" s="458"/>
      <c r="L704" s="458"/>
      <c r="M704" s="458"/>
      <c r="N704" s="458"/>
      <c r="O704" s="458"/>
      <c r="P704" s="458"/>
      <c r="Q704" s="458"/>
      <c r="R704" s="458"/>
      <c r="S704" s="458"/>
      <c r="T704" s="458"/>
      <c r="U704" s="458"/>
      <c r="V704" s="458"/>
      <c r="W704" s="458"/>
    </row>
    <row r="705" spans="1:23" ht="15.75" customHeight="1">
      <c r="A705" s="458"/>
      <c r="B705" s="458"/>
      <c r="C705" s="458"/>
      <c r="D705" s="458"/>
      <c r="E705" s="458"/>
      <c r="F705" s="458"/>
      <c r="G705" s="458"/>
      <c r="H705" s="458"/>
      <c r="I705" s="458"/>
      <c r="J705" s="458"/>
      <c r="K705" s="458"/>
      <c r="L705" s="458"/>
      <c r="M705" s="458"/>
      <c r="N705" s="458"/>
      <c r="O705" s="458"/>
      <c r="P705" s="458"/>
      <c r="Q705" s="458"/>
      <c r="R705" s="458"/>
      <c r="S705" s="458"/>
      <c r="T705" s="458"/>
      <c r="U705" s="458"/>
      <c r="V705" s="458"/>
      <c r="W705" s="458"/>
    </row>
    <row r="706" spans="1:23" ht="15.75" customHeight="1">
      <c r="A706" s="458"/>
      <c r="B706" s="458"/>
      <c r="C706" s="458"/>
      <c r="D706" s="458"/>
      <c r="E706" s="458"/>
      <c r="F706" s="458"/>
      <c r="G706" s="458"/>
      <c r="H706" s="458"/>
      <c r="I706" s="458"/>
      <c r="J706" s="458"/>
      <c r="K706" s="458"/>
      <c r="L706" s="458"/>
      <c r="M706" s="458"/>
      <c r="N706" s="458"/>
      <c r="O706" s="458"/>
      <c r="P706" s="458"/>
      <c r="Q706" s="458"/>
      <c r="R706" s="458"/>
      <c r="S706" s="458"/>
      <c r="T706" s="458"/>
      <c r="U706" s="458"/>
      <c r="V706" s="458"/>
      <c r="W706" s="458"/>
    </row>
    <row r="707" spans="1:23" ht="15.75" customHeight="1">
      <c r="A707" s="458"/>
      <c r="B707" s="458"/>
      <c r="C707" s="458"/>
      <c r="D707" s="458"/>
      <c r="E707" s="458"/>
      <c r="F707" s="458"/>
      <c r="G707" s="458"/>
      <c r="H707" s="458"/>
      <c r="I707" s="458"/>
      <c r="J707" s="458"/>
      <c r="K707" s="458"/>
      <c r="L707" s="458"/>
      <c r="M707" s="458"/>
      <c r="N707" s="458"/>
      <c r="O707" s="458"/>
      <c r="P707" s="458"/>
      <c r="Q707" s="458"/>
      <c r="R707" s="458"/>
      <c r="S707" s="458"/>
      <c r="T707" s="458"/>
      <c r="U707" s="458"/>
      <c r="V707" s="458"/>
      <c r="W707" s="458"/>
    </row>
    <row r="708" spans="1:23" ht="15.75" customHeight="1">
      <c r="A708" s="458"/>
      <c r="B708" s="458"/>
      <c r="C708" s="458"/>
      <c r="D708" s="458"/>
      <c r="E708" s="458"/>
      <c r="F708" s="458"/>
      <c r="G708" s="458"/>
      <c r="H708" s="458"/>
      <c r="I708" s="458"/>
      <c r="J708" s="458"/>
      <c r="K708" s="458"/>
      <c r="L708" s="458"/>
      <c r="M708" s="458"/>
      <c r="N708" s="458"/>
      <c r="O708" s="458"/>
      <c r="P708" s="458"/>
      <c r="Q708" s="458"/>
      <c r="R708" s="458"/>
      <c r="S708" s="458"/>
      <c r="T708" s="458"/>
      <c r="U708" s="458"/>
      <c r="V708" s="458"/>
      <c r="W708" s="458"/>
    </row>
    <row r="709" spans="1:23" ht="15.75" customHeight="1">
      <c r="A709" s="458"/>
      <c r="B709" s="458"/>
      <c r="C709" s="458"/>
      <c r="D709" s="458"/>
      <c r="E709" s="458"/>
      <c r="F709" s="458"/>
      <c r="G709" s="458"/>
      <c r="H709" s="458"/>
      <c r="I709" s="458"/>
      <c r="J709" s="458"/>
      <c r="K709" s="458"/>
      <c r="L709" s="458"/>
      <c r="M709" s="458"/>
      <c r="N709" s="458"/>
      <c r="O709" s="458"/>
      <c r="P709" s="458"/>
      <c r="Q709" s="458"/>
      <c r="R709" s="458"/>
      <c r="S709" s="458"/>
      <c r="T709" s="458"/>
      <c r="U709" s="458"/>
      <c r="V709" s="458"/>
      <c r="W709" s="458"/>
    </row>
    <row r="710" spans="1:23" ht="15.75" customHeight="1">
      <c r="A710" s="458"/>
      <c r="B710" s="458"/>
      <c r="C710" s="458"/>
      <c r="D710" s="458"/>
      <c r="E710" s="458"/>
      <c r="F710" s="458"/>
      <c r="G710" s="458"/>
      <c r="H710" s="458"/>
      <c r="I710" s="458"/>
      <c r="J710" s="458"/>
      <c r="K710" s="458"/>
      <c r="L710" s="458"/>
      <c r="M710" s="458"/>
      <c r="N710" s="458"/>
      <c r="O710" s="458"/>
      <c r="P710" s="458"/>
      <c r="Q710" s="458"/>
      <c r="R710" s="458"/>
      <c r="S710" s="458"/>
      <c r="T710" s="458"/>
      <c r="U710" s="458"/>
      <c r="V710" s="458"/>
      <c r="W710" s="458"/>
    </row>
    <row r="711" spans="1:23" ht="15.75" customHeight="1">
      <c r="A711" s="458"/>
      <c r="B711" s="458"/>
      <c r="C711" s="458"/>
      <c r="D711" s="458"/>
      <c r="E711" s="458"/>
      <c r="F711" s="458"/>
      <c r="G711" s="458"/>
      <c r="H711" s="458"/>
      <c r="I711" s="458"/>
      <c r="J711" s="458"/>
      <c r="K711" s="458"/>
      <c r="L711" s="458"/>
      <c r="M711" s="458"/>
      <c r="N711" s="458"/>
      <c r="O711" s="458"/>
      <c r="P711" s="458"/>
      <c r="Q711" s="458"/>
      <c r="R711" s="458"/>
      <c r="S711" s="458"/>
      <c r="T711" s="458"/>
      <c r="U711" s="458"/>
      <c r="V711" s="458"/>
      <c r="W711" s="458"/>
    </row>
    <row r="712" spans="1:23" ht="15.75" customHeight="1">
      <c r="A712" s="458"/>
      <c r="B712" s="458"/>
      <c r="C712" s="458"/>
      <c r="D712" s="458"/>
      <c r="E712" s="458"/>
      <c r="F712" s="458"/>
      <c r="G712" s="458"/>
      <c r="H712" s="458"/>
      <c r="I712" s="458"/>
      <c r="J712" s="458"/>
      <c r="K712" s="458"/>
      <c r="L712" s="458"/>
      <c r="M712" s="458"/>
      <c r="N712" s="458"/>
      <c r="O712" s="458"/>
      <c r="P712" s="458"/>
      <c r="Q712" s="458"/>
      <c r="R712" s="458"/>
      <c r="S712" s="458"/>
      <c r="T712" s="458"/>
      <c r="U712" s="458"/>
      <c r="V712" s="458"/>
      <c r="W712" s="458"/>
    </row>
    <row r="713" spans="1:23" ht="15.75" customHeight="1">
      <c r="A713" s="458"/>
      <c r="B713" s="458"/>
      <c r="C713" s="458"/>
      <c r="D713" s="458"/>
      <c r="E713" s="458"/>
      <c r="F713" s="458"/>
      <c r="G713" s="458"/>
      <c r="H713" s="458"/>
      <c r="I713" s="458"/>
      <c r="J713" s="458"/>
      <c r="K713" s="458"/>
      <c r="L713" s="458"/>
      <c r="M713" s="458"/>
      <c r="N713" s="458"/>
      <c r="O713" s="458"/>
      <c r="P713" s="458"/>
      <c r="Q713" s="458"/>
      <c r="R713" s="458"/>
      <c r="S713" s="458"/>
      <c r="T713" s="458"/>
      <c r="U713" s="458"/>
      <c r="V713" s="458"/>
      <c r="W713" s="458"/>
    </row>
    <row r="714" spans="1:23" ht="15.75" customHeight="1">
      <c r="A714" s="458"/>
      <c r="B714" s="458"/>
      <c r="C714" s="458"/>
      <c r="D714" s="458"/>
      <c r="E714" s="458"/>
      <c r="F714" s="458"/>
      <c r="G714" s="458"/>
      <c r="H714" s="458"/>
      <c r="I714" s="458"/>
      <c r="J714" s="458"/>
      <c r="K714" s="458"/>
      <c r="L714" s="458"/>
      <c r="M714" s="458"/>
      <c r="N714" s="458"/>
      <c r="O714" s="458"/>
      <c r="P714" s="458"/>
      <c r="Q714" s="458"/>
      <c r="R714" s="458"/>
      <c r="S714" s="458"/>
      <c r="T714" s="458"/>
      <c r="U714" s="458"/>
      <c r="V714" s="458"/>
      <c r="W714" s="458"/>
    </row>
    <row r="715" spans="1:23" ht="15.75" customHeight="1">
      <c r="A715" s="458"/>
      <c r="B715" s="458"/>
      <c r="C715" s="458"/>
      <c r="D715" s="458"/>
      <c r="E715" s="458"/>
      <c r="F715" s="458"/>
      <c r="G715" s="458"/>
      <c r="H715" s="458"/>
      <c r="I715" s="458"/>
      <c r="J715" s="458"/>
      <c r="K715" s="458"/>
      <c r="L715" s="458"/>
      <c r="M715" s="458"/>
      <c r="N715" s="458"/>
      <c r="O715" s="458"/>
      <c r="P715" s="458"/>
      <c r="Q715" s="458"/>
      <c r="R715" s="458"/>
      <c r="S715" s="458"/>
      <c r="T715" s="458"/>
      <c r="U715" s="458"/>
      <c r="V715" s="458"/>
      <c r="W715" s="458"/>
    </row>
    <row r="716" spans="1:23" ht="15.75" customHeight="1">
      <c r="A716" s="458"/>
      <c r="B716" s="458"/>
      <c r="C716" s="458"/>
      <c r="D716" s="458"/>
      <c r="E716" s="458"/>
      <c r="F716" s="458"/>
      <c r="G716" s="458"/>
      <c r="H716" s="458"/>
      <c r="I716" s="458"/>
      <c r="J716" s="458"/>
      <c r="K716" s="458"/>
      <c r="L716" s="458"/>
      <c r="M716" s="458"/>
      <c r="N716" s="458"/>
      <c r="O716" s="458"/>
      <c r="P716" s="458"/>
      <c r="Q716" s="458"/>
      <c r="R716" s="458"/>
      <c r="S716" s="458"/>
      <c r="T716" s="458"/>
      <c r="U716" s="458"/>
      <c r="V716" s="458"/>
      <c r="W716" s="458"/>
    </row>
    <row r="717" spans="1:23" ht="15.75" customHeight="1">
      <c r="A717" s="458"/>
      <c r="B717" s="458"/>
      <c r="C717" s="458"/>
      <c r="D717" s="458"/>
      <c r="E717" s="458"/>
      <c r="F717" s="458"/>
      <c r="G717" s="458"/>
      <c r="H717" s="458"/>
      <c r="I717" s="458"/>
      <c r="J717" s="458"/>
      <c r="K717" s="458"/>
      <c r="L717" s="458"/>
      <c r="M717" s="458"/>
      <c r="N717" s="458"/>
      <c r="O717" s="458"/>
      <c r="P717" s="458"/>
      <c r="Q717" s="458"/>
      <c r="R717" s="458"/>
      <c r="S717" s="458"/>
      <c r="T717" s="458"/>
      <c r="U717" s="458"/>
      <c r="V717" s="458"/>
      <c r="W717" s="458"/>
    </row>
    <row r="718" spans="1:23" ht="15.75" customHeight="1">
      <c r="A718" s="458"/>
      <c r="B718" s="458"/>
      <c r="C718" s="458"/>
      <c r="D718" s="458"/>
      <c r="E718" s="458"/>
      <c r="F718" s="458"/>
      <c r="G718" s="458"/>
      <c r="H718" s="458"/>
      <c r="I718" s="458"/>
      <c r="J718" s="458"/>
      <c r="K718" s="458"/>
      <c r="L718" s="458"/>
      <c r="M718" s="458"/>
      <c r="N718" s="458"/>
      <c r="O718" s="458"/>
      <c r="P718" s="458"/>
      <c r="Q718" s="458"/>
      <c r="R718" s="458"/>
      <c r="S718" s="458"/>
      <c r="T718" s="458"/>
      <c r="U718" s="458"/>
      <c r="V718" s="458"/>
      <c r="W718" s="458"/>
    </row>
    <row r="719" spans="1:23" ht="15.75" customHeight="1">
      <c r="A719" s="458"/>
      <c r="B719" s="458"/>
      <c r="C719" s="458"/>
      <c r="D719" s="458"/>
      <c r="E719" s="458"/>
      <c r="F719" s="458"/>
      <c r="G719" s="458"/>
      <c r="H719" s="458"/>
      <c r="I719" s="458"/>
      <c r="J719" s="458"/>
      <c r="K719" s="458"/>
      <c r="L719" s="458"/>
      <c r="M719" s="458"/>
      <c r="N719" s="458"/>
      <c r="O719" s="458"/>
      <c r="P719" s="458"/>
      <c r="Q719" s="458"/>
      <c r="R719" s="458"/>
      <c r="S719" s="458"/>
      <c r="T719" s="458"/>
      <c r="U719" s="458"/>
      <c r="V719" s="458"/>
      <c r="W719" s="458"/>
    </row>
    <row r="720" spans="1:23" ht="15.75" customHeight="1">
      <c r="A720" s="458"/>
      <c r="B720" s="458"/>
      <c r="C720" s="458"/>
      <c r="D720" s="458"/>
      <c r="E720" s="458"/>
      <c r="F720" s="458"/>
      <c r="G720" s="458"/>
      <c r="H720" s="458"/>
      <c r="I720" s="458"/>
      <c r="J720" s="458"/>
      <c r="K720" s="458"/>
      <c r="L720" s="458"/>
      <c r="M720" s="458"/>
      <c r="N720" s="458"/>
      <c r="O720" s="458"/>
      <c r="P720" s="458"/>
      <c r="Q720" s="458"/>
      <c r="R720" s="458"/>
      <c r="S720" s="458"/>
      <c r="T720" s="458"/>
      <c r="U720" s="458"/>
      <c r="V720" s="458"/>
      <c r="W720" s="458"/>
    </row>
    <row r="721" spans="1:23" ht="15.75" customHeight="1">
      <c r="A721" s="458"/>
      <c r="B721" s="458"/>
      <c r="C721" s="458"/>
      <c r="D721" s="458"/>
      <c r="E721" s="458"/>
      <c r="F721" s="458"/>
      <c r="G721" s="458"/>
      <c r="H721" s="458"/>
      <c r="I721" s="458"/>
      <c r="J721" s="458"/>
      <c r="K721" s="458"/>
      <c r="L721" s="458"/>
      <c r="M721" s="458"/>
      <c r="N721" s="458"/>
      <c r="O721" s="458"/>
      <c r="P721" s="458"/>
      <c r="Q721" s="458"/>
      <c r="R721" s="458"/>
      <c r="S721" s="458"/>
      <c r="T721" s="458"/>
      <c r="U721" s="458"/>
      <c r="V721" s="458"/>
      <c r="W721" s="458"/>
    </row>
    <row r="722" spans="1:23" ht="15.75" customHeight="1">
      <c r="A722" s="458"/>
      <c r="B722" s="458"/>
      <c r="C722" s="458"/>
      <c r="D722" s="458"/>
      <c r="E722" s="458"/>
      <c r="F722" s="458"/>
      <c r="G722" s="458"/>
      <c r="H722" s="458"/>
      <c r="I722" s="458"/>
      <c r="J722" s="458"/>
      <c r="K722" s="458"/>
      <c r="L722" s="458"/>
      <c r="M722" s="458"/>
      <c r="N722" s="458"/>
      <c r="O722" s="458"/>
      <c r="P722" s="458"/>
      <c r="Q722" s="458"/>
      <c r="R722" s="458"/>
      <c r="S722" s="458"/>
      <c r="T722" s="458"/>
      <c r="U722" s="458"/>
      <c r="V722" s="458"/>
      <c r="W722" s="458"/>
    </row>
    <row r="723" spans="1:23" ht="15.75" customHeight="1">
      <c r="A723" s="458"/>
      <c r="B723" s="458"/>
      <c r="C723" s="458"/>
      <c r="D723" s="458"/>
      <c r="E723" s="458"/>
      <c r="F723" s="458"/>
      <c r="G723" s="458"/>
      <c r="H723" s="458"/>
      <c r="I723" s="458"/>
      <c r="J723" s="458"/>
      <c r="K723" s="458"/>
      <c r="L723" s="458"/>
      <c r="M723" s="458"/>
      <c r="N723" s="458"/>
      <c r="O723" s="458"/>
      <c r="P723" s="458"/>
      <c r="Q723" s="458"/>
      <c r="R723" s="458"/>
      <c r="S723" s="458"/>
      <c r="T723" s="458"/>
      <c r="U723" s="458"/>
      <c r="V723" s="458"/>
      <c r="W723" s="458"/>
    </row>
    <row r="724" spans="1:23" ht="15.75" customHeight="1">
      <c r="A724" s="458"/>
      <c r="B724" s="458"/>
      <c r="C724" s="458"/>
      <c r="D724" s="458"/>
      <c r="E724" s="458"/>
      <c r="F724" s="458"/>
      <c r="G724" s="458"/>
      <c r="H724" s="458"/>
      <c r="I724" s="458"/>
      <c r="J724" s="458"/>
      <c r="K724" s="458"/>
      <c r="L724" s="458"/>
      <c r="M724" s="458"/>
      <c r="N724" s="458"/>
      <c r="O724" s="458"/>
      <c r="P724" s="458"/>
      <c r="Q724" s="458"/>
      <c r="R724" s="458"/>
      <c r="S724" s="458"/>
      <c r="T724" s="458"/>
      <c r="U724" s="458"/>
      <c r="V724" s="458"/>
      <c r="W724" s="458"/>
    </row>
    <row r="725" spans="1:23" ht="15.75" customHeight="1">
      <c r="A725" s="458"/>
      <c r="B725" s="458"/>
      <c r="C725" s="458"/>
      <c r="D725" s="458"/>
      <c r="E725" s="458"/>
      <c r="F725" s="458"/>
      <c r="G725" s="458"/>
      <c r="H725" s="458"/>
      <c r="I725" s="458"/>
      <c r="J725" s="458"/>
      <c r="K725" s="458"/>
      <c r="L725" s="458"/>
      <c r="M725" s="458"/>
      <c r="N725" s="458"/>
      <c r="O725" s="458"/>
      <c r="P725" s="458"/>
      <c r="Q725" s="458"/>
      <c r="R725" s="458"/>
      <c r="S725" s="458"/>
      <c r="T725" s="458"/>
      <c r="U725" s="458"/>
      <c r="V725" s="458"/>
      <c r="W725" s="458"/>
    </row>
    <row r="726" spans="1:23" ht="15.75" customHeight="1">
      <c r="A726" s="458"/>
      <c r="B726" s="458"/>
      <c r="C726" s="458"/>
      <c r="D726" s="458"/>
      <c r="E726" s="458"/>
      <c r="F726" s="458"/>
      <c r="G726" s="458"/>
      <c r="H726" s="458"/>
      <c r="I726" s="458"/>
      <c r="J726" s="458"/>
      <c r="K726" s="458"/>
      <c r="L726" s="458"/>
      <c r="M726" s="458"/>
      <c r="N726" s="458"/>
      <c r="O726" s="458"/>
      <c r="P726" s="458"/>
      <c r="Q726" s="458"/>
      <c r="R726" s="458"/>
      <c r="S726" s="458"/>
      <c r="T726" s="458"/>
      <c r="U726" s="458"/>
      <c r="V726" s="458"/>
      <c r="W726" s="458"/>
    </row>
    <row r="727" spans="1:23" ht="15.75" customHeight="1">
      <c r="A727" s="458"/>
      <c r="B727" s="458"/>
      <c r="C727" s="458"/>
      <c r="D727" s="458"/>
      <c r="E727" s="458"/>
      <c r="F727" s="458"/>
      <c r="G727" s="458"/>
      <c r="H727" s="458"/>
      <c r="I727" s="458"/>
      <c r="J727" s="458"/>
      <c r="K727" s="458"/>
      <c r="L727" s="458"/>
      <c r="M727" s="458"/>
      <c r="N727" s="458"/>
      <c r="O727" s="458"/>
      <c r="P727" s="458"/>
      <c r="Q727" s="458"/>
      <c r="R727" s="458"/>
      <c r="S727" s="458"/>
      <c r="T727" s="458"/>
      <c r="U727" s="458"/>
      <c r="V727" s="458"/>
      <c r="W727" s="458"/>
    </row>
    <row r="728" spans="1:23" ht="15.75" customHeight="1">
      <c r="A728" s="458"/>
      <c r="B728" s="458"/>
      <c r="C728" s="458"/>
      <c r="D728" s="458"/>
      <c r="E728" s="458"/>
      <c r="F728" s="458"/>
      <c r="G728" s="458"/>
      <c r="H728" s="458"/>
      <c r="I728" s="458"/>
      <c r="J728" s="458"/>
      <c r="K728" s="458"/>
      <c r="L728" s="458"/>
      <c r="M728" s="458"/>
      <c r="N728" s="458"/>
      <c r="O728" s="458"/>
      <c r="P728" s="458"/>
      <c r="Q728" s="458"/>
      <c r="R728" s="458"/>
      <c r="S728" s="458"/>
      <c r="T728" s="458"/>
      <c r="U728" s="458"/>
      <c r="V728" s="458"/>
      <c r="W728" s="458"/>
    </row>
    <row r="729" spans="1:23" ht="15.75" customHeight="1">
      <c r="A729" s="458"/>
      <c r="B729" s="458"/>
      <c r="C729" s="458"/>
      <c r="D729" s="458"/>
      <c r="E729" s="458"/>
      <c r="F729" s="458"/>
      <c r="G729" s="458"/>
      <c r="H729" s="458"/>
      <c r="I729" s="458"/>
      <c r="J729" s="458"/>
      <c r="K729" s="458"/>
      <c r="L729" s="458"/>
      <c r="M729" s="458"/>
      <c r="N729" s="458"/>
      <c r="O729" s="458"/>
      <c r="P729" s="458"/>
      <c r="Q729" s="458"/>
      <c r="R729" s="458"/>
      <c r="S729" s="458"/>
      <c r="T729" s="458"/>
      <c r="U729" s="458"/>
      <c r="V729" s="458"/>
      <c r="W729" s="458"/>
    </row>
    <row r="730" spans="1:23" ht="15.75" customHeight="1">
      <c r="A730" s="458"/>
      <c r="B730" s="458"/>
      <c r="C730" s="458"/>
      <c r="D730" s="458"/>
      <c r="E730" s="458"/>
      <c r="F730" s="458"/>
      <c r="G730" s="458"/>
      <c r="H730" s="458"/>
      <c r="I730" s="458"/>
      <c r="J730" s="458"/>
      <c r="K730" s="458"/>
      <c r="L730" s="458"/>
      <c r="M730" s="458"/>
      <c r="N730" s="458"/>
      <c r="O730" s="458"/>
      <c r="P730" s="458"/>
      <c r="Q730" s="458"/>
      <c r="R730" s="458"/>
      <c r="S730" s="458"/>
      <c r="T730" s="458"/>
      <c r="U730" s="458"/>
      <c r="V730" s="458"/>
      <c r="W730" s="458"/>
    </row>
    <row r="731" spans="1:23" ht="15.75" customHeight="1">
      <c r="A731" s="458"/>
      <c r="B731" s="458"/>
      <c r="C731" s="458"/>
      <c r="D731" s="458"/>
      <c r="E731" s="458"/>
      <c r="F731" s="458"/>
      <c r="G731" s="458"/>
      <c r="H731" s="458"/>
      <c r="I731" s="458"/>
      <c r="J731" s="458"/>
      <c r="K731" s="458"/>
      <c r="L731" s="458"/>
      <c r="M731" s="458"/>
      <c r="N731" s="458"/>
      <c r="O731" s="458"/>
      <c r="P731" s="458"/>
      <c r="Q731" s="458"/>
      <c r="R731" s="458"/>
      <c r="S731" s="458"/>
      <c r="T731" s="458"/>
      <c r="U731" s="458"/>
      <c r="V731" s="458"/>
      <c r="W731" s="458"/>
    </row>
    <row r="732" spans="1:23" ht="15.75" customHeight="1">
      <c r="A732" s="458"/>
      <c r="B732" s="458"/>
      <c r="C732" s="458"/>
      <c r="D732" s="458"/>
      <c r="E732" s="458"/>
      <c r="F732" s="458"/>
      <c r="G732" s="458"/>
      <c r="H732" s="458"/>
      <c r="I732" s="458"/>
      <c r="J732" s="458"/>
      <c r="K732" s="458"/>
      <c r="L732" s="458"/>
      <c r="M732" s="458"/>
      <c r="N732" s="458"/>
      <c r="O732" s="458"/>
      <c r="P732" s="458"/>
      <c r="Q732" s="458"/>
      <c r="R732" s="458"/>
      <c r="S732" s="458"/>
      <c r="T732" s="458"/>
      <c r="U732" s="458"/>
      <c r="V732" s="458"/>
      <c r="W732" s="458"/>
    </row>
    <row r="733" spans="1:23" ht="15.75" customHeight="1">
      <c r="A733" s="458"/>
      <c r="B733" s="458"/>
      <c r="C733" s="458"/>
      <c r="D733" s="458"/>
      <c r="E733" s="458"/>
      <c r="F733" s="458"/>
      <c r="G733" s="458"/>
      <c r="H733" s="458"/>
      <c r="I733" s="458"/>
      <c r="J733" s="458"/>
      <c r="K733" s="458"/>
      <c r="L733" s="458"/>
      <c r="M733" s="458"/>
      <c r="N733" s="458"/>
      <c r="O733" s="458"/>
      <c r="P733" s="458"/>
      <c r="Q733" s="458"/>
      <c r="R733" s="458"/>
      <c r="S733" s="458"/>
      <c r="T733" s="458"/>
      <c r="U733" s="458"/>
      <c r="V733" s="458"/>
      <c r="W733" s="458"/>
    </row>
    <row r="734" spans="1:23" ht="15.75" customHeight="1">
      <c r="A734" s="458"/>
      <c r="B734" s="458"/>
      <c r="C734" s="458"/>
      <c r="D734" s="458"/>
      <c r="E734" s="458"/>
      <c r="F734" s="458"/>
      <c r="G734" s="458"/>
      <c r="H734" s="458"/>
      <c r="I734" s="458"/>
      <c r="J734" s="458"/>
      <c r="K734" s="458"/>
      <c r="L734" s="458"/>
      <c r="M734" s="458"/>
      <c r="N734" s="458"/>
      <c r="O734" s="458"/>
      <c r="P734" s="458"/>
      <c r="Q734" s="458"/>
      <c r="R734" s="458"/>
      <c r="S734" s="458"/>
      <c r="T734" s="458"/>
      <c r="U734" s="458"/>
      <c r="V734" s="458"/>
      <c r="W734" s="458"/>
    </row>
    <row r="735" spans="1:23" ht="15.75" customHeight="1">
      <c r="A735" s="458"/>
      <c r="B735" s="458"/>
      <c r="C735" s="458"/>
      <c r="D735" s="458"/>
      <c r="E735" s="458"/>
      <c r="F735" s="458"/>
      <c r="G735" s="458"/>
      <c r="H735" s="458"/>
      <c r="I735" s="458"/>
      <c r="J735" s="458"/>
      <c r="K735" s="458"/>
      <c r="L735" s="458"/>
      <c r="M735" s="458"/>
      <c r="N735" s="458"/>
      <c r="O735" s="458"/>
      <c r="P735" s="458"/>
      <c r="Q735" s="458"/>
      <c r="R735" s="458"/>
      <c r="S735" s="458"/>
      <c r="T735" s="458"/>
      <c r="U735" s="458"/>
      <c r="V735" s="458"/>
      <c r="W735" s="458"/>
    </row>
    <row r="736" spans="1:23" ht="15.75" customHeight="1">
      <c r="A736" s="458"/>
      <c r="B736" s="458"/>
      <c r="C736" s="458"/>
      <c r="D736" s="458"/>
      <c r="E736" s="458"/>
      <c r="F736" s="458"/>
      <c r="G736" s="458"/>
      <c r="H736" s="458"/>
      <c r="I736" s="458"/>
      <c r="J736" s="458"/>
      <c r="K736" s="458"/>
      <c r="L736" s="458"/>
      <c r="M736" s="458"/>
      <c r="N736" s="458"/>
      <c r="O736" s="458"/>
      <c r="P736" s="458"/>
      <c r="Q736" s="458"/>
      <c r="R736" s="458"/>
      <c r="S736" s="458"/>
      <c r="T736" s="458"/>
      <c r="U736" s="458"/>
      <c r="V736" s="458"/>
      <c r="W736" s="458"/>
    </row>
    <row r="737" spans="1:23" ht="15.75" customHeight="1">
      <c r="A737" s="458"/>
      <c r="B737" s="458"/>
      <c r="C737" s="458"/>
      <c r="D737" s="458"/>
      <c r="E737" s="458"/>
      <c r="F737" s="458"/>
      <c r="G737" s="458"/>
      <c r="H737" s="458"/>
      <c r="I737" s="458"/>
      <c r="J737" s="458"/>
      <c r="K737" s="458"/>
      <c r="L737" s="458"/>
      <c r="M737" s="458"/>
      <c r="N737" s="458"/>
      <c r="O737" s="458"/>
      <c r="P737" s="458"/>
      <c r="Q737" s="458"/>
      <c r="R737" s="458"/>
      <c r="S737" s="458"/>
      <c r="T737" s="458"/>
      <c r="U737" s="458"/>
      <c r="V737" s="458"/>
      <c r="W737" s="458"/>
    </row>
    <row r="738" spans="1:23" ht="15.75" customHeight="1">
      <c r="A738" s="458"/>
      <c r="B738" s="458"/>
      <c r="C738" s="458"/>
      <c r="D738" s="458"/>
      <c r="E738" s="458"/>
      <c r="F738" s="458"/>
      <c r="G738" s="458"/>
      <c r="H738" s="458"/>
      <c r="I738" s="458"/>
      <c r="J738" s="458"/>
      <c r="K738" s="458"/>
      <c r="L738" s="458"/>
      <c r="M738" s="458"/>
      <c r="N738" s="458"/>
      <c r="O738" s="458"/>
      <c r="P738" s="458"/>
      <c r="Q738" s="458"/>
      <c r="R738" s="458"/>
      <c r="S738" s="458"/>
      <c r="T738" s="458"/>
      <c r="U738" s="458"/>
      <c r="V738" s="458"/>
      <c r="W738" s="458"/>
    </row>
    <row r="739" spans="1:23" ht="15.75" customHeight="1">
      <c r="A739" s="458"/>
      <c r="B739" s="458"/>
      <c r="C739" s="458"/>
      <c r="D739" s="458"/>
      <c r="E739" s="458"/>
      <c r="F739" s="458"/>
      <c r="G739" s="458"/>
      <c r="H739" s="458"/>
      <c r="I739" s="458"/>
      <c r="J739" s="458"/>
      <c r="K739" s="458"/>
      <c r="L739" s="458"/>
      <c r="M739" s="458"/>
      <c r="N739" s="458"/>
      <c r="O739" s="458"/>
      <c r="P739" s="458"/>
      <c r="Q739" s="458"/>
      <c r="R739" s="458"/>
      <c r="S739" s="458"/>
      <c r="T739" s="458"/>
      <c r="U739" s="458"/>
      <c r="V739" s="458"/>
      <c r="W739" s="458"/>
    </row>
    <row r="740" spans="1:23" ht="15.75" customHeight="1">
      <c r="A740" s="458"/>
      <c r="B740" s="458"/>
      <c r="C740" s="458"/>
      <c r="D740" s="458"/>
      <c r="E740" s="458"/>
      <c r="F740" s="458"/>
      <c r="G740" s="458"/>
      <c r="H740" s="458"/>
      <c r="I740" s="458"/>
      <c r="J740" s="458"/>
      <c r="K740" s="458"/>
      <c r="L740" s="458"/>
      <c r="M740" s="458"/>
      <c r="N740" s="458"/>
      <c r="O740" s="458"/>
      <c r="P740" s="458"/>
      <c r="Q740" s="458"/>
      <c r="R740" s="458"/>
      <c r="S740" s="458"/>
      <c r="T740" s="458"/>
      <c r="U740" s="458"/>
      <c r="V740" s="458"/>
      <c r="W740" s="458"/>
    </row>
    <row r="741" spans="1:23" ht="15.75" customHeight="1">
      <c r="A741" s="458"/>
      <c r="B741" s="458"/>
      <c r="C741" s="458"/>
      <c r="D741" s="458"/>
      <c r="E741" s="458"/>
      <c r="F741" s="458"/>
      <c r="G741" s="458"/>
      <c r="H741" s="458"/>
      <c r="I741" s="458"/>
      <c r="J741" s="458"/>
      <c r="K741" s="458"/>
      <c r="L741" s="458"/>
      <c r="M741" s="458"/>
      <c r="N741" s="458"/>
      <c r="O741" s="458"/>
      <c r="P741" s="458"/>
      <c r="Q741" s="458"/>
      <c r="R741" s="458"/>
      <c r="S741" s="458"/>
      <c r="T741" s="458"/>
      <c r="U741" s="458"/>
      <c r="V741" s="458"/>
      <c r="W741" s="458"/>
    </row>
    <row r="742" spans="1:23" ht="15.75" customHeight="1">
      <c r="A742" s="458"/>
      <c r="B742" s="458"/>
      <c r="C742" s="458"/>
      <c r="D742" s="458"/>
      <c r="E742" s="458"/>
      <c r="F742" s="458"/>
      <c r="G742" s="458"/>
      <c r="H742" s="458"/>
      <c r="I742" s="458"/>
      <c r="J742" s="458"/>
      <c r="K742" s="458"/>
      <c r="L742" s="458"/>
      <c r="M742" s="458"/>
      <c r="N742" s="458"/>
      <c r="O742" s="458"/>
      <c r="P742" s="458"/>
      <c r="Q742" s="458"/>
      <c r="R742" s="458"/>
      <c r="S742" s="458"/>
      <c r="T742" s="458"/>
      <c r="U742" s="458"/>
      <c r="V742" s="458"/>
      <c r="W742" s="458"/>
    </row>
    <row r="743" spans="1:23" ht="15.75" customHeight="1">
      <c r="A743" s="458"/>
      <c r="B743" s="458"/>
      <c r="C743" s="458"/>
      <c r="D743" s="458"/>
      <c r="E743" s="458"/>
      <c r="F743" s="458"/>
      <c r="G743" s="458"/>
      <c r="H743" s="458"/>
      <c r="I743" s="458"/>
      <c r="J743" s="458"/>
      <c r="K743" s="458"/>
      <c r="L743" s="458"/>
      <c r="M743" s="458"/>
      <c r="N743" s="458"/>
      <c r="O743" s="458"/>
      <c r="P743" s="458"/>
      <c r="Q743" s="458"/>
      <c r="R743" s="458"/>
      <c r="S743" s="458"/>
      <c r="T743" s="458"/>
      <c r="U743" s="458"/>
      <c r="V743" s="458"/>
      <c r="W743" s="458"/>
    </row>
    <row r="744" spans="1:23" ht="15.75" customHeight="1">
      <c r="A744" s="458"/>
      <c r="B744" s="458"/>
      <c r="C744" s="458"/>
      <c r="D744" s="458"/>
      <c r="E744" s="458"/>
      <c r="F744" s="458"/>
      <c r="G744" s="458"/>
      <c r="H744" s="458"/>
      <c r="I744" s="458"/>
      <c r="J744" s="458"/>
      <c r="K744" s="458"/>
      <c r="L744" s="458"/>
      <c r="M744" s="458"/>
      <c r="N744" s="458"/>
      <c r="O744" s="458"/>
      <c r="P744" s="458"/>
      <c r="Q744" s="458"/>
      <c r="R744" s="458"/>
      <c r="S744" s="458"/>
      <c r="T744" s="458"/>
      <c r="U744" s="458"/>
      <c r="V744" s="458"/>
      <c r="W744" s="458"/>
    </row>
    <row r="745" spans="1:23" ht="15.75" customHeight="1">
      <c r="A745" s="458"/>
      <c r="B745" s="458"/>
      <c r="C745" s="458"/>
      <c r="D745" s="458"/>
      <c r="E745" s="458"/>
      <c r="F745" s="458"/>
      <c r="G745" s="458"/>
      <c r="H745" s="458"/>
      <c r="I745" s="458"/>
      <c r="J745" s="458"/>
      <c r="K745" s="458"/>
      <c r="L745" s="458"/>
      <c r="M745" s="458"/>
      <c r="N745" s="458"/>
      <c r="O745" s="458"/>
      <c r="P745" s="458"/>
      <c r="Q745" s="458"/>
      <c r="R745" s="458"/>
      <c r="S745" s="458"/>
      <c r="T745" s="458"/>
      <c r="U745" s="458"/>
      <c r="V745" s="458"/>
      <c r="W745" s="458"/>
    </row>
    <row r="746" spans="1:23" ht="15.75" customHeight="1">
      <c r="A746" s="458"/>
      <c r="B746" s="458"/>
      <c r="C746" s="458"/>
      <c r="D746" s="458"/>
      <c r="E746" s="458"/>
      <c r="F746" s="458"/>
      <c r="G746" s="458"/>
      <c r="H746" s="458"/>
      <c r="I746" s="458"/>
      <c r="J746" s="458"/>
      <c r="K746" s="458"/>
      <c r="L746" s="458"/>
      <c r="M746" s="458"/>
      <c r="N746" s="458"/>
      <c r="O746" s="458"/>
      <c r="P746" s="458"/>
      <c r="Q746" s="458"/>
      <c r="R746" s="458"/>
      <c r="S746" s="458"/>
      <c r="T746" s="458"/>
      <c r="U746" s="458"/>
      <c r="V746" s="458"/>
      <c r="W746" s="458"/>
    </row>
    <row r="747" spans="1:23" ht="15.75" customHeight="1">
      <c r="A747" s="458"/>
      <c r="B747" s="458"/>
      <c r="C747" s="458"/>
      <c r="D747" s="458"/>
      <c r="E747" s="458"/>
      <c r="F747" s="458"/>
      <c r="G747" s="458"/>
      <c r="H747" s="458"/>
      <c r="I747" s="458"/>
      <c r="J747" s="458"/>
      <c r="K747" s="458"/>
      <c r="L747" s="458"/>
      <c r="M747" s="458"/>
      <c r="N747" s="458"/>
      <c r="O747" s="458"/>
      <c r="P747" s="458"/>
      <c r="Q747" s="458"/>
      <c r="R747" s="458"/>
      <c r="S747" s="458"/>
      <c r="T747" s="458"/>
      <c r="U747" s="458"/>
      <c r="V747" s="458"/>
      <c r="W747" s="458"/>
    </row>
    <row r="748" spans="1:23" ht="15.75" customHeight="1">
      <c r="A748" s="458"/>
      <c r="B748" s="458"/>
      <c r="C748" s="458"/>
      <c r="D748" s="458"/>
      <c r="E748" s="458"/>
      <c r="F748" s="458"/>
      <c r="G748" s="458"/>
      <c r="H748" s="458"/>
      <c r="I748" s="458"/>
      <c r="J748" s="458"/>
      <c r="K748" s="458"/>
      <c r="L748" s="458"/>
      <c r="M748" s="458"/>
      <c r="N748" s="458"/>
      <c r="O748" s="458"/>
      <c r="P748" s="458"/>
      <c r="Q748" s="458"/>
      <c r="R748" s="458"/>
      <c r="S748" s="458"/>
      <c r="T748" s="458"/>
      <c r="U748" s="458"/>
      <c r="V748" s="458"/>
      <c r="W748" s="458"/>
    </row>
    <row r="749" spans="1:23" ht="15.75" customHeight="1">
      <c r="A749" s="458"/>
      <c r="B749" s="458"/>
      <c r="C749" s="458"/>
      <c r="D749" s="458"/>
      <c r="E749" s="458"/>
      <c r="F749" s="458"/>
      <c r="G749" s="458"/>
      <c r="H749" s="458"/>
      <c r="I749" s="458"/>
      <c r="J749" s="458"/>
      <c r="K749" s="458"/>
      <c r="L749" s="458"/>
      <c r="M749" s="458"/>
      <c r="N749" s="458"/>
      <c r="O749" s="458"/>
      <c r="P749" s="458"/>
      <c r="Q749" s="458"/>
      <c r="R749" s="458"/>
      <c r="S749" s="458"/>
      <c r="T749" s="458"/>
      <c r="U749" s="458"/>
      <c r="V749" s="458"/>
      <c r="W749" s="458"/>
    </row>
    <row r="750" spans="1:23" ht="15.75" customHeight="1">
      <c r="A750" s="458"/>
      <c r="B750" s="458"/>
      <c r="C750" s="458"/>
      <c r="D750" s="458"/>
      <c r="E750" s="458"/>
      <c r="F750" s="458"/>
      <c r="G750" s="458"/>
      <c r="H750" s="458"/>
      <c r="I750" s="458"/>
      <c r="J750" s="458"/>
      <c r="K750" s="458"/>
      <c r="L750" s="458"/>
      <c r="M750" s="458"/>
      <c r="N750" s="458"/>
      <c r="O750" s="458"/>
      <c r="P750" s="458"/>
      <c r="Q750" s="458"/>
      <c r="R750" s="458"/>
      <c r="S750" s="458"/>
      <c r="T750" s="458"/>
      <c r="U750" s="458"/>
      <c r="V750" s="458"/>
      <c r="W750" s="458"/>
    </row>
    <row r="751" spans="1:23" ht="15.75" customHeight="1">
      <c r="A751" s="458"/>
      <c r="B751" s="458"/>
      <c r="C751" s="458"/>
      <c r="D751" s="458"/>
      <c r="E751" s="458"/>
      <c r="F751" s="458"/>
      <c r="G751" s="458"/>
      <c r="H751" s="458"/>
      <c r="I751" s="458"/>
      <c r="J751" s="458"/>
      <c r="K751" s="458"/>
      <c r="L751" s="458"/>
      <c r="M751" s="458"/>
      <c r="N751" s="458"/>
      <c r="O751" s="458"/>
      <c r="P751" s="458"/>
      <c r="Q751" s="458"/>
      <c r="R751" s="458"/>
      <c r="S751" s="458"/>
      <c r="T751" s="458"/>
      <c r="U751" s="458"/>
      <c r="V751" s="458"/>
      <c r="W751" s="458"/>
    </row>
    <row r="752" spans="1:23" ht="15.75" customHeight="1">
      <c r="A752" s="458"/>
      <c r="B752" s="458"/>
      <c r="C752" s="458"/>
      <c r="D752" s="458"/>
      <c r="E752" s="458"/>
      <c r="F752" s="458"/>
      <c r="G752" s="458"/>
      <c r="H752" s="458"/>
      <c r="I752" s="458"/>
      <c r="J752" s="458"/>
      <c r="K752" s="458"/>
      <c r="L752" s="458"/>
      <c r="M752" s="458"/>
      <c r="N752" s="458"/>
      <c r="O752" s="458"/>
      <c r="P752" s="458"/>
      <c r="Q752" s="458"/>
      <c r="R752" s="458"/>
      <c r="S752" s="458"/>
      <c r="T752" s="458"/>
      <c r="U752" s="458"/>
      <c r="V752" s="458"/>
      <c r="W752" s="458"/>
    </row>
    <row r="753" spans="1:23" ht="15.75" customHeight="1">
      <c r="A753" s="458"/>
      <c r="B753" s="458"/>
      <c r="C753" s="458"/>
      <c r="D753" s="458"/>
      <c r="E753" s="458"/>
      <c r="F753" s="458"/>
      <c r="G753" s="458"/>
      <c r="H753" s="458"/>
      <c r="I753" s="458"/>
      <c r="J753" s="458"/>
      <c r="K753" s="458"/>
      <c r="L753" s="458"/>
      <c r="M753" s="458"/>
      <c r="N753" s="458"/>
      <c r="O753" s="458"/>
      <c r="P753" s="458"/>
      <c r="Q753" s="458"/>
      <c r="R753" s="458"/>
      <c r="S753" s="458"/>
      <c r="T753" s="458"/>
      <c r="U753" s="458"/>
      <c r="V753" s="458"/>
      <c r="W753" s="458"/>
    </row>
    <row r="754" spans="1:23" ht="15.75" customHeight="1">
      <c r="A754" s="458"/>
      <c r="B754" s="458"/>
      <c r="C754" s="458"/>
      <c r="D754" s="458"/>
      <c r="E754" s="458"/>
      <c r="F754" s="458"/>
      <c r="G754" s="458"/>
      <c r="H754" s="458"/>
      <c r="I754" s="458"/>
      <c r="J754" s="458"/>
      <c r="K754" s="458"/>
      <c r="L754" s="458"/>
      <c r="M754" s="458"/>
      <c r="N754" s="458"/>
      <c r="O754" s="458"/>
      <c r="P754" s="458"/>
      <c r="Q754" s="458"/>
      <c r="R754" s="458"/>
      <c r="S754" s="458"/>
      <c r="T754" s="458"/>
      <c r="U754" s="458"/>
      <c r="V754" s="458"/>
      <c r="W754" s="458"/>
    </row>
    <row r="755" spans="1:23" ht="15.75" customHeight="1">
      <c r="A755" s="458"/>
      <c r="B755" s="458"/>
      <c r="C755" s="458"/>
      <c r="D755" s="458"/>
      <c r="E755" s="458"/>
      <c r="F755" s="458"/>
      <c r="G755" s="458"/>
      <c r="H755" s="458"/>
      <c r="I755" s="458"/>
      <c r="J755" s="458"/>
      <c r="K755" s="458"/>
      <c r="L755" s="458"/>
      <c r="M755" s="458"/>
      <c r="N755" s="458"/>
      <c r="O755" s="458"/>
      <c r="P755" s="458"/>
      <c r="Q755" s="458"/>
      <c r="R755" s="458"/>
      <c r="S755" s="458"/>
      <c r="T755" s="458"/>
      <c r="U755" s="458"/>
      <c r="V755" s="458"/>
      <c r="W755" s="458"/>
    </row>
    <row r="756" spans="1:23" ht="15.75" customHeight="1">
      <c r="A756" s="458"/>
      <c r="B756" s="458"/>
      <c r="C756" s="458"/>
      <c r="D756" s="458"/>
      <c r="E756" s="458"/>
      <c r="F756" s="458"/>
      <c r="G756" s="458"/>
      <c r="H756" s="458"/>
      <c r="I756" s="458"/>
      <c r="J756" s="458"/>
      <c r="K756" s="458"/>
      <c r="L756" s="458"/>
      <c r="M756" s="458"/>
      <c r="N756" s="458"/>
      <c r="O756" s="458"/>
      <c r="P756" s="458"/>
      <c r="Q756" s="458"/>
      <c r="R756" s="458"/>
      <c r="S756" s="458"/>
      <c r="T756" s="458"/>
      <c r="U756" s="458"/>
      <c r="V756" s="458"/>
      <c r="W756" s="458"/>
    </row>
    <row r="757" spans="1:23" ht="15.75" customHeight="1">
      <c r="A757" s="458"/>
      <c r="B757" s="458"/>
      <c r="C757" s="458"/>
      <c r="D757" s="458"/>
      <c r="E757" s="458"/>
      <c r="F757" s="458"/>
      <c r="G757" s="458"/>
      <c r="H757" s="458"/>
      <c r="I757" s="458"/>
      <c r="J757" s="458"/>
      <c r="K757" s="458"/>
      <c r="L757" s="458"/>
      <c r="M757" s="458"/>
      <c r="N757" s="458"/>
      <c r="O757" s="458"/>
      <c r="P757" s="458"/>
      <c r="Q757" s="458"/>
      <c r="R757" s="458"/>
      <c r="S757" s="458"/>
      <c r="T757" s="458"/>
      <c r="U757" s="458"/>
      <c r="V757" s="458"/>
      <c r="W757" s="458"/>
    </row>
    <row r="758" spans="1:23" ht="15.75" customHeight="1">
      <c r="A758" s="458"/>
      <c r="B758" s="458"/>
      <c r="C758" s="458"/>
      <c r="D758" s="458"/>
      <c r="E758" s="458"/>
      <c r="F758" s="458"/>
      <c r="G758" s="458"/>
      <c r="H758" s="458"/>
      <c r="I758" s="458"/>
      <c r="J758" s="458"/>
      <c r="K758" s="458"/>
      <c r="L758" s="458"/>
      <c r="M758" s="458"/>
      <c r="N758" s="458"/>
      <c r="O758" s="458"/>
      <c r="P758" s="458"/>
      <c r="Q758" s="458"/>
      <c r="R758" s="458"/>
      <c r="S758" s="458"/>
      <c r="T758" s="458"/>
      <c r="U758" s="458"/>
      <c r="V758" s="458"/>
      <c r="W758" s="458"/>
    </row>
    <row r="759" spans="1:23" ht="15.75" customHeight="1">
      <c r="A759" s="458"/>
      <c r="B759" s="458"/>
      <c r="C759" s="458"/>
      <c r="D759" s="458"/>
      <c r="E759" s="458"/>
      <c r="F759" s="458"/>
      <c r="G759" s="458"/>
      <c r="H759" s="458"/>
      <c r="I759" s="458"/>
      <c r="J759" s="458"/>
      <c r="K759" s="458"/>
      <c r="L759" s="458"/>
      <c r="M759" s="458"/>
      <c r="N759" s="458"/>
      <c r="O759" s="458"/>
      <c r="P759" s="458"/>
      <c r="Q759" s="458"/>
      <c r="R759" s="458"/>
      <c r="S759" s="458"/>
      <c r="T759" s="458"/>
      <c r="U759" s="458"/>
      <c r="V759" s="458"/>
      <c r="W759" s="458"/>
    </row>
    <row r="760" spans="1:23" ht="15.75" customHeight="1">
      <c r="A760" s="458"/>
      <c r="B760" s="458"/>
      <c r="C760" s="458"/>
      <c r="D760" s="458"/>
      <c r="E760" s="458"/>
      <c r="F760" s="458"/>
      <c r="G760" s="458"/>
      <c r="H760" s="458"/>
      <c r="I760" s="458"/>
      <c r="J760" s="458"/>
      <c r="K760" s="458"/>
      <c r="L760" s="458"/>
      <c r="M760" s="458"/>
      <c r="N760" s="458"/>
      <c r="O760" s="458"/>
      <c r="P760" s="458"/>
      <c r="Q760" s="458"/>
      <c r="R760" s="458"/>
      <c r="S760" s="458"/>
      <c r="T760" s="458"/>
      <c r="U760" s="458"/>
      <c r="V760" s="458"/>
      <c r="W760" s="458"/>
    </row>
    <row r="761" spans="1:23" ht="15.75" customHeight="1">
      <c r="A761" s="458"/>
      <c r="B761" s="458"/>
      <c r="C761" s="458"/>
      <c r="D761" s="458"/>
      <c r="E761" s="458"/>
      <c r="F761" s="458"/>
      <c r="G761" s="458"/>
      <c r="H761" s="458"/>
      <c r="I761" s="458"/>
      <c r="J761" s="458"/>
      <c r="K761" s="458"/>
      <c r="L761" s="458"/>
      <c r="M761" s="458"/>
      <c r="N761" s="458"/>
      <c r="O761" s="458"/>
      <c r="P761" s="458"/>
      <c r="Q761" s="458"/>
      <c r="R761" s="458"/>
      <c r="S761" s="458"/>
      <c r="T761" s="458"/>
      <c r="U761" s="458"/>
      <c r="V761" s="458"/>
      <c r="W761" s="458"/>
    </row>
    <row r="762" spans="1:23" ht="15.75" customHeight="1">
      <c r="A762" s="458"/>
      <c r="B762" s="458"/>
      <c r="C762" s="458"/>
      <c r="D762" s="458"/>
      <c r="E762" s="458"/>
      <c r="F762" s="458"/>
      <c r="G762" s="458"/>
      <c r="H762" s="458"/>
      <c r="I762" s="458"/>
      <c r="J762" s="458"/>
      <c r="K762" s="458"/>
      <c r="L762" s="458"/>
      <c r="M762" s="458"/>
      <c r="N762" s="458"/>
      <c r="O762" s="458"/>
      <c r="P762" s="458"/>
      <c r="Q762" s="458"/>
      <c r="R762" s="458"/>
      <c r="S762" s="458"/>
      <c r="T762" s="458"/>
      <c r="U762" s="458"/>
      <c r="V762" s="458"/>
      <c r="W762" s="458"/>
    </row>
    <row r="763" spans="1:23" ht="15.75" customHeight="1">
      <c r="A763" s="458"/>
      <c r="B763" s="458"/>
      <c r="C763" s="458"/>
      <c r="D763" s="458"/>
      <c r="E763" s="458"/>
      <c r="F763" s="458"/>
      <c r="G763" s="458"/>
      <c r="H763" s="458"/>
      <c r="I763" s="458"/>
      <c r="J763" s="458"/>
      <c r="K763" s="458"/>
      <c r="L763" s="458"/>
      <c r="M763" s="458"/>
      <c r="N763" s="458"/>
      <c r="O763" s="458"/>
      <c r="P763" s="458"/>
      <c r="Q763" s="458"/>
      <c r="R763" s="458"/>
      <c r="S763" s="458"/>
      <c r="T763" s="458"/>
      <c r="U763" s="458"/>
      <c r="V763" s="458"/>
      <c r="W763" s="458"/>
    </row>
    <row r="764" spans="1:23" ht="15.75" customHeight="1">
      <c r="A764" s="458"/>
      <c r="B764" s="458"/>
      <c r="C764" s="458"/>
      <c r="D764" s="458"/>
      <c r="E764" s="458"/>
      <c r="F764" s="458"/>
      <c r="G764" s="458"/>
      <c r="H764" s="458"/>
      <c r="I764" s="458"/>
      <c r="J764" s="458"/>
      <c r="K764" s="458"/>
      <c r="L764" s="458"/>
      <c r="M764" s="458"/>
      <c r="N764" s="458"/>
      <c r="O764" s="458"/>
      <c r="P764" s="458"/>
      <c r="Q764" s="458"/>
      <c r="R764" s="458"/>
      <c r="S764" s="458"/>
      <c r="T764" s="458"/>
      <c r="U764" s="458"/>
      <c r="V764" s="458"/>
      <c r="W764" s="458"/>
    </row>
    <row r="765" spans="1:23" ht="15.75" customHeight="1">
      <c r="A765" s="458"/>
      <c r="B765" s="458"/>
      <c r="C765" s="458"/>
      <c r="D765" s="458"/>
      <c r="E765" s="458"/>
      <c r="F765" s="458"/>
      <c r="G765" s="458"/>
      <c r="H765" s="458"/>
      <c r="I765" s="458"/>
      <c r="J765" s="458"/>
      <c r="K765" s="458"/>
      <c r="L765" s="458"/>
      <c r="M765" s="458"/>
      <c r="N765" s="458"/>
      <c r="O765" s="458"/>
      <c r="P765" s="458"/>
      <c r="Q765" s="458"/>
      <c r="R765" s="458"/>
      <c r="S765" s="458"/>
      <c r="T765" s="458"/>
      <c r="U765" s="458"/>
      <c r="V765" s="458"/>
      <c r="W765" s="458"/>
    </row>
    <row r="766" spans="1:23" ht="15.75" customHeight="1">
      <c r="A766" s="458"/>
      <c r="B766" s="458"/>
      <c r="C766" s="458"/>
      <c r="D766" s="458"/>
      <c r="E766" s="458"/>
      <c r="F766" s="458"/>
      <c r="G766" s="458"/>
      <c r="H766" s="458"/>
      <c r="I766" s="458"/>
      <c r="J766" s="458"/>
      <c r="K766" s="458"/>
      <c r="L766" s="458"/>
      <c r="M766" s="458"/>
      <c r="N766" s="458"/>
      <c r="O766" s="458"/>
      <c r="P766" s="458"/>
      <c r="Q766" s="458"/>
      <c r="R766" s="458"/>
      <c r="S766" s="458"/>
      <c r="T766" s="458"/>
      <c r="U766" s="458"/>
      <c r="V766" s="458"/>
      <c r="W766" s="458"/>
    </row>
    <row r="767" spans="1:23" ht="15.75" customHeight="1">
      <c r="A767" s="458"/>
      <c r="B767" s="458"/>
      <c r="C767" s="458"/>
      <c r="D767" s="458"/>
      <c r="E767" s="458"/>
      <c r="F767" s="458"/>
      <c r="G767" s="458"/>
      <c r="H767" s="458"/>
      <c r="I767" s="458"/>
      <c r="J767" s="458"/>
      <c r="K767" s="458"/>
      <c r="L767" s="458"/>
      <c r="M767" s="458"/>
      <c r="N767" s="458"/>
      <c r="O767" s="458"/>
      <c r="P767" s="458"/>
      <c r="Q767" s="458"/>
      <c r="R767" s="458"/>
      <c r="S767" s="458"/>
      <c r="T767" s="458"/>
      <c r="U767" s="458"/>
      <c r="V767" s="458"/>
      <c r="W767" s="458"/>
    </row>
    <row r="768" spans="1:23" ht="15.75" customHeight="1">
      <c r="A768" s="458"/>
      <c r="B768" s="458"/>
      <c r="C768" s="458"/>
      <c r="D768" s="458"/>
      <c r="E768" s="458"/>
      <c r="F768" s="458"/>
      <c r="G768" s="458"/>
      <c r="H768" s="458"/>
      <c r="I768" s="458"/>
      <c r="J768" s="458"/>
      <c r="K768" s="458"/>
      <c r="L768" s="458"/>
      <c r="M768" s="458"/>
      <c r="N768" s="458"/>
      <c r="O768" s="458"/>
      <c r="P768" s="458"/>
      <c r="Q768" s="458"/>
      <c r="R768" s="458"/>
      <c r="S768" s="458"/>
      <c r="T768" s="458"/>
      <c r="U768" s="458"/>
      <c r="V768" s="458"/>
      <c r="W768" s="458"/>
    </row>
    <row r="769" spans="1:23" ht="15.75" customHeight="1">
      <c r="A769" s="458"/>
      <c r="B769" s="458"/>
      <c r="C769" s="458"/>
      <c r="D769" s="458"/>
      <c r="E769" s="458"/>
      <c r="F769" s="458"/>
      <c r="G769" s="458"/>
      <c r="H769" s="458"/>
      <c r="I769" s="458"/>
      <c r="J769" s="458"/>
      <c r="K769" s="458"/>
      <c r="L769" s="458"/>
      <c r="M769" s="458"/>
      <c r="N769" s="458"/>
      <c r="O769" s="458"/>
      <c r="P769" s="458"/>
      <c r="Q769" s="458"/>
      <c r="R769" s="458"/>
      <c r="S769" s="458"/>
      <c r="T769" s="458"/>
      <c r="U769" s="458"/>
      <c r="V769" s="458"/>
      <c r="W769" s="458"/>
    </row>
    <row r="770" spans="1:23" ht="15.75" customHeight="1">
      <c r="A770" s="458"/>
      <c r="B770" s="458"/>
      <c r="C770" s="458"/>
      <c r="D770" s="458"/>
      <c r="E770" s="458"/>
      <c r="F770" s="458"/>
      <c r="G770" s="458"/>
      <c r="H770" s="458"/>
      <c r="I770" s="458"/>
      <c r="J770" s="458"/>
      <c r="K770" s="458"/>
      <c r="L770" s="458"/>
      <c r="M770" s="458"/>
      <c r="N770" s="458"/>
      <c r="O770" s="458"/>
      <c r="P770" s="458"/>
      <c r="Q770" s="458"/>
      <c r="R770" s="458"/>
      <c r="S770" s="458"/>
      <c r="T770" s="458"/>
      <c r="U770" s="458"/>
      <c r="V770" s="458"/>
      <c r="W770" s="458"/>
    </row>
    <row r="771" spans="1:23" ht="15.75" customHeight="1">
      <c r="A771" s="458"/>
      <c r="B771" s="458"/>
      <c r="C771" s="458"/>
      <c r="D771" s="458"/>
      <c r="E771" s="458"/>
      <c r="F771" s="458"/>
      <c r="G771" s="458"/>
      <c r="H771" s="458"/>
      <c r="I771" s="458"/>
      <c r="J771" s="458"/>
      <c r="K771" s="458"/>
      <c r="L771" s="458"/>
      <c r="M771" s="458"/>
      <c r="N771" s="458"/>
      <c r="O771" s="458"/>
      <c r="P771" s="458"/>
      <c r="Q771" s="458"/>
      <c r="R771" s="458"/>
      <c r="S771" s="458"/>
      <c r="T771" s="458"/>
      <c r="U771" s="458"/>
      <c r="V771" s="458"/>
      <c r="W771" s="458"/>
    </row>
    <row r="772" spans="1:23" ht="15.75" customHeight="1">
      <c r="A772" s="458"/>
      <c r="B772" s="458"/>
      <c r="C772" s="458"/>
      <c r="D772" s="458"/>
      <c r="E772" s="458"/>
      <c r="F772" s="458"/>
      <c r="G772" s="458"/>
      <c r="H772" s="458"/>
      <c r="I772" s="458"/>
      <c r="J772" s="458"/>
      <c r="K772" s="458"/>
      <c r="L772" s="458"/>
      <c r="M772" s="458"/>
      <c r="N772" s="458"/>
      <c r="O772" s="458"/>
      <c r="P772" s="458"/>
      <c r="Q772" s="458"/>
      <c r="R772" s="458"/>
      <c r="S772" s="458"/>
      <c r="T772" s="458"/>
      <c r="U772" s="458"/>
      <c r="V772" s="458"/>
      <c r="W772" s="458"/>
    </row>
    <row r="773" spans="1:23" ht="15.75" customHeight="1">
      <c r="A773" s="458"/>
      <c r="B773" s="458"/>
      <c r="C773" s="458"/>
      <c r="D773" s="458"/>
      <c r="E773" s="458"/>
      <c r="F773" s="458"/>
      <c r="G773" s="458"/>
      <c r="H773" s="458"/>
      <c r="I773" s="458"/>
      <c r="J773" s="458"/>
      <c r="K773" s="458"/>
      <c r="L773" s="458"/>
      <c r="M773" s="458"/>
      <c r="N773" s="458"/>
      <c r="O773" s="458"/>
      <c r="P773" s="458"/>
      <c r="Q773" s="458"/>
      <c r="R773" s="458"/>
      <c r="S773" s="458"/>
      <c r="T773" s="458"/>
      <c r="U773" s="458"/>
      <c r="V773" s="458"/>
      <c r="W773" s="458"/>
    </row>
    <row r="774" spans="1:23" ht="15.75" customHeight="1">
      <c r="A774" s="458"/>
      <c r="B774" s="458"/>
      <c r="C774" s="458"/>
      <c r="D774" s="458"/>
      <c r="E774" s="458"/>
      <c r="F774" s="458"/>
      <c r="G774" s="458"/>
      <c r="H774" s="458"/>
      <c r="I774" s="458"/>
      <c r="J774" s="458"/>
      <c r="K774" s="458"/>
      <c r="L774" s="458"/>
      <c r="M774" s="458"/>
      <c r="N774" s="458"/>
      <c r="O774" s="458"/>
      <c r="P774" s="458"/>
      <c r="Q774" s="458"/>
      <c r="R774" s="458"/>
      <c r="S774" s="458"/>
      <c r="T774" s="458"/>
      <c r="U774" s="458"/>
      <c r="V774" s="458"/>
      <c r="W774" s="458"/>
    </row>
    <row r="775" spans="1:23" ht="15.75" customHeight="1">
      <c r="A775" s="458"/>
      <c r="B775" s="458"/>
      <c r="C775" s="458"/>
      <c r="D775" s="458"/>
      <c r="E775" s="458"/>
      <c r="F775" s="458"/>
      <c r="G775" s="458"/>
      <c r="H775" s="458"/>
      <c r="I775" s="458"/>
      <c r="J775" s="458"/>
      <c r="K775" s="458"/>
      <c r="L775" s="458"/>
      <c r="M775" s="458"/>
      <c r="N775" s="458"/>
      <c r="O775" s="458"/>
      <c r="P775" s="458"/>
      <c r="Q775" s="458"/>
      <c r="R775" s="458"/>
      <c r="S775" s="458"/>
      <c r="T775" s="458"/>
      <c r="U775" s="458"/>
      <c r="V775" s="458"/>
      <c r="W775" s="458"/>
    </row>
    <row r="776" spans="1:23" ht="15.75" customHeight="1">
      <c r="A776" s="458"/>
      <c r="B776" s="458"/>
      <c r="C776" s="458"/>
      <c r="D776" s="458"/>
      <c r="E776" s="458"/>
      <c r="F776" s="458"/>
      <c r="G776" s="458"/>
      <c r="H776" s="458"/>
      <c r="I776" s="458"/>
      <c r="J776" s="458"/>
      <c r="K776" s="458"/>
      <c r="L776" s="458"/>
      <c r="M776" s="458"/>
      <c r="N776" s="458"/>
      <c r="O776" s="458"/>
      <c r="P776" s="458"/>
      <c r="Q776" s="458"/>
      <c r="R776" s="458"/>
      <c r="S776" s="458"/>
      <c r="T776" s="458"/>
      <c r="U776" s="458"/>
      <c r="V776" s="458"/>
      <c r="W776" s="458"/>
    </row>
    <row r="777" spans="1:23" ht="15.75" customHeight="1">
      <c r="A777" s="458"/>
      <c r="B777" s="458"/>
      <c r="C777" s="458"/>
      <c r="D777" s="458"/>
      <c r="E777" s="458"/>
      <c r="F777" s="458"/>
      <c r="G777" s="458"/>
      <c r="H777" s="458"/>
      <c r="I777" s="458"/>
      <c r="J777" s="458"/>
      <c r="K777" s="458"/>
      <c r="L777" s="458"/>
      <c r="M777" s="458"/>
      <c r="N777" s="458"/>
      <c r="O777" s="458"/>
      <c r="P777" s="458"/>
      <c r="Q777" s="458"/>
      <c r="R777" s="458"/>
      <c r="S777" s="458"/>
      <c r="T777" s="458"/>
      <c r="U777" s="458"/>
      <c r="V777" s="458"/>
      <c r="W777" s="458"/>
    </row>
    <row r="778" spans="1:23" ht="15.75" customHeight="1">
      <c r="A778" s="458"/>
      <c r="B778" s="458"/>
      <c r="C778" s="458"/>
      <c r="D778" s="458"/>
      <c r="E778" s="458"/>
      <c r="F778" s="458"/>
      <c r="G778" s="458"/>
      <c r="H778" s="458"/>
      <c r="I778" s="458"/>
      <c r="J778" s="458"/>
      <c r="K778" s="458"/>
      <c r="L778" s="458"/>
      <c r="M778" s="458"/>
      <c r="N778" s="458"/>
      <c r="O778" s="458"/>
      <c r="P778" s="458"/>
      <c r="Q778" s="458"/>
      <c r="R778" s="458"/>
      <c r="S778" s="458"/>
      <c r="T778" s="458"/>
      <c r="U778" s="458"/>
      <c r="V778" s="458"/>
      <c r="W778" s="458"/>
    </row>
    <row r="779" spans="1:23" ht="15.75" customHeight="1">
      <c r="A779" s="458"/>
      <c r="B779" s="458"/>
      <c r="C779" s="458"/>
      <c r="D779" s="458"/>
      <c r="E779" s="458"/>
      <c r="F779" s="458"/>
      <c r="G779" s="458"/>
      <c r="H779" s="458"/>
      <c r="I779" s="458"/>
      <c r="J779" s="458"/>
      <c r="K779" s="458"/>
      <c r="L779" s="458"/>
      <c r="M779" s="458"/>
      <c r="N779" s="458"/>
      <c r="O779" s="458"/>
      <c r="P779" s="458"/>
      <c r="Q779" s="458"/>
      <c r="R779" s="458"/>
      <c r="S779" s="458"/>
      <c r="T779" s="458"/>
      <c r="U779" s="458"/>
      <c r="V779" s="458"/>
      <c r="W779" s="458"/>
    </row>
    <row r="780" spans="1:23" ht="15.75" customHeight="1">
      <c r="A780" s="458"/>
      <c r="B780" s="458"/>
      <c r="C780" s="458"/>
      <c r="D780" s="458"/>
      <c r="E780" s="458"/>
      <c r="F780" s="458"/>
      <c r="G780" s="458"/>
      <c r="H780" s="458"/>
      <c r="I780" s="458"/>
      <c r="J780" s="458"/>
      <c r="K780" s="458"/>
      <c r="L780" s="458"/>
      <c r="M780" s="458"/>
      <c r="N780" s="458"/>
      <c r="O780" s="458"/>
      <c r="P780" s="458"/>
      <c r="Q780" s="458"/>
      <c r="R780" s="458"/>
      <c r="S780" s="458"/>
      <c r="T780" s="458"/>
      <c r="U780" s="458"/>
      <c r="V780" s="458"/>
      <c r="W780" s="458"/>
    </row>
    <row r="781" spans="1:23" ht="15.75" customHeight="1">
      <c r="A781" s="458"/>
      <c r="B781" s="458"/>
      <c r="C781" s="458"/>
      <c r="D781" s="458"/>
      <c r="E781" s="458"/>
      <c r="F781" s="458"/>
      <c r="G781" s="458"/>
      <c r="H781" s="458"/>
      <c r="I781" s="458"/>
      <c r="J781" s="458"/>
      <c r="K781" s="458"/>
      <c r="L781" s="458"/>
      <c r="M781" s="458"/>
      <c r="N781" s="458"/>
      <c r="O781" s="458"/>
      <c r="P781" s="458"/>
      <c r="Q781" s="458"/>
      <c r="R781" s="458"/>
      <c r="S781" s="458"/>
      <c r="T781" s="458"/>
      <c r="U781" s="458"/>
      <c r="V781" s="458"/>
      <c r="W781" s="458"/>
    </row>
    <row r="782" spans="1:23" ht="15.75" customHeight="1">
      <c r="A782" s="458"/>
      <c r="B782" s="458"/>
      <c r="C782" s="458"/>
      <c r="D782" s="458"/>
      <c r="E782" s="458"/>
      <c r="F782" s="458"/>
      <c r="G782" s="458"/>
      <c r="H782" s="458"/>
      <c r="I782" s="458"/>
      <c r="J782" s="458"/>
      <c r="K782" s="458"/>
      <c r="L782" s="458"/>
      <c r="M782" s="458"/>
      <c r="N782" s="458"/>
      <c r="O782" s="458"/>
      <c r="P782" s="458"/>
      <c r="Q782" s="458"/>
      <c r="R782" s="458"/>
      <c r="S782" s="458"/>
      <c r="T782" s="458"/>
      <c r="U782" s="458"/>
      <c r="V782" s="458"/>
      <c r="W782" s="458"/>
    </row>
    <row r="783" spans="1:23" ht="15.75" customHeight="1">
      <c r="A783" s="458"/>
      <c r="B783" s="458"/>
      <c r="C783" s="458"/>
      <c r="D783" s="458"/>
      <c r="E783" s="458"/>
      <c r="F783" s="458"/>
      <c r="G783" s="458"/>
      <c r="H783" s="458"/>
      <c r="I783" s="458"/>
      <c r="J783" s="458"/>
      <c r="K783" s="458"/>
      <c r="L783" s="458"/>
      <c r="M783" s="458"/>
      <c r="N783" s="458"/>
      <c r="O783" s="458"/>
      <c r="P783" s="458"/>
      <c r="Q783" s="458"/>
      <c r="R783" s="458"/>
      <c r="S783" s="458"/>
      <c r="T783" s="458"/>
      <c r="U783" s="458"/>
      <c r="V783" s="458"/>
      <c r="W783" s="458"/>
    </row>
    <row r="784" spans="1:23" ht="15.75" customHeight="1">
      <c r="A784" s="458"/>
      <c r="B784" s="458"/>
      <c r="C784" s="458"/>
      <c r="D784" s="458"/>
      <c r="E784" s="458"/>
      <c r="F784" s="458"/>
      <c r="G784" s="458"/>
      <c r="H784" s="458"/>
      <c r="I784" s="458"/>
      <c r="J784" s="458"/>
      <c r="K784" s="458"/>
      <c r="L784" s="458"/>
      <c r="M784" s="458"/>
      <c r="N784" s="458"/>
      <c r="O784" s="458"/>
      <c r="P784" s="458"/>
      <c r="Q784" s="458"/>
      <c r="R784" s="458"/>
      <c r="S784" s="458"/>
      <c r="T784" s="458"/>
      <c r="U784" s="458"/>
      <c r="V784" s="458"/>
      <c r="W784" s="458"/>
    </row>
    <row r="785" spans="1:23" ht="15.75" customHeight="1">
      <c r="A785" s="458"/>
      <c r="B785" s="458"/>
      <c r="C785" s="458"/>
      <c r="D785" s="458"/>
      <c r="E785" s="458"/>
      <c r="F785" s="458"/>
      <c r="G785" s="458"/>
      <c r="H785" s="458"/>
      <c r="I785" s="458"/>
      <c r="J785" s="458"/>
      <c r="K785" s="458"/>
      <c r="L785" s="458"/>
      <c r="M785" s="458"/>
      <c r="N785" s="458"/>
      <c r="O785" s="458"/>
      <c r="P785" s="458"/>
      <c r="Q785" s="458"/>
      <c r="R785" s="458"/>
      <c r="S785" s="458"/>
      <c r="T785" s="458"/>
      <c r="U785" s="458"/>
      <c r="V785" s="458"/>
      <c r="W785" s="458"/>
    </row>
    <row r="786" spans="1:23" ht="15.75" customHeight="1">
      <c r="A786" s="458"/>
      <c r="B786" s="458"/>
      <c r="C786" s="458"/>
      <c r="D786" s="458"/>
      <c r="E786" s="458"/>
      <c r="F786" s="458"/>
      <c r="G786" s="458"/>
      <c r="H786" s="458"/>
      <c r="I786" s="458"/>
      <c r="J786" s="458"/>
      <c r="K786" s="458"/>
      <c r="L786" s="458"/>
      <c r="M786" s="458"/>
      <c r="N786" s="458"/>
      <c r="O786" s="458"/>
      <c r="P786" s="458"/>
      <c r="Q786" s="458"/>
      <c r="R786" s="458"/>
      <c r="S786" s="458"/>
      <c r="T786" s="458"/>
      <c r="U786" s="458"/>
      <c r="V786" s="458"/>
      <c r="W786" s="458"/>
    </row>
    <row r="787" spans="1:23" ht="15.75" customHeight="1">
      <c r="A787" s="458"/>
      <c r="B787" s="458"/>
      <c r="C787" s="458"/>
      <c r="D787" s="458"/>
      <c r="E787" s="458"/>
      <c r="F787" s="458"/>
      <c r="G787" s="458"/>
      <c r="H787" s="458"/>
      <c r="I787" s="458"/>
      <c r="J787" s="458"/>
      <c r="K787" s="458"/>
      <c r="L787" s="458"/>
      <c r="M787" s="458"/>
      <c r="N787" s="458"/>
      <c r="O787" s="458"/>
      <c r="P787" s="458"/>
      <c r="Q787" s="458"/>
      <c r="R787" s="458"/>
      <c r="S787" s="458"/>
      <c r="T787" s="458"/>
      <c r="U787" s="458"/>
      <c r="V787" s="458"/>
      <c r="W787" s="458"/>
    </row>
    <row r="788" spans="1:23" ht="15.75" customHeight="1">
      <c r="A788" s="458"/>
      <c r="B788" s="458"/>
      <c r="C788" s="458"/>
      <c r="D788" s="458"/>
      <c r="E788" s="458"/>
      <c r="F788" s="458"/>
      <c r="G788" s="458"/>
      <c r="H788" s="458"/>
      <c r="I788" s="458"/>
      <c r="J788" s="458"/>
      <c r="K788" s="458"/>
      <c r="L788" s="458"/>
      <c r="M788" s="458"/>
      <c r="N788" s="458"/>
      <c r="O788" s="458"/>
      <c r="P788" s="458"/>
      <c r="Q788" s="458"/>
      <c r="R788" s="458"/>
      <c r="S788" s="458"/>
      <c r="T788" s="458"/>
      <c r="U788" s="458"/>
      <c r="V788" s="458"/>
      <c r="W788" s="458"/>
    </row>
    <row r="789" spans="1:23" ht="15.75" customHeight="1">
      <c r="A789" s="458"/>
      <c r="B789" s="458"/>
      <c r="C789" s="458"/>
      <c r="D789" s="458"/>
      <c r="E789" s="458"/>
      <c r="F789" s="458"/>
      <c r="G789" s="458"/>
      <c r="H789" s="458"/>
      <c r="I789" s="458"/>
      <c r="J789" s="458"/>
      <c r="K789" s="458"/>
      <c r="L789" s="458"/>
      <c r="M789" s="458"/>
      <c r="N789" s="458"/>
      <c r="O789" s="458"/>
      <c r="P789" s="458"/>
      <c r="Q789" s="458"/>
      <c r="R789" s="458"/>
      <c r="S789" s="458"/>
      <c r="T789" s="458"/>
      <c r="U789" s="458"/>
      <c r="V789" s="458"/>
      <c r="W789" s="458"/>
    </row>
    <row r="790" spans="1:23" ht="15.75" customHeight="1">
      <c r="A790" s="458"/>
      <c r="B790" s="458"/>
      <c r="C790" s="458"/>
      <c r="D790" s="458"/>
      <c r="E790" s="458"/>
      <c r="F790" s="458"/>
      <c r="G790" s="458"/>
      <c r="H790" s="458"/>
      <c r="I790" s="458"/>
      <c r="J790" s="458"/>
      <c r="K790" s="458"/>
      <c r="L790" s="458"/>
      <c r="M790" s="458"/>
      <c r="N790" s="458"/>
      <c r="O790" s="458"/>
      <c r="P790" s="458"/>
      <c r="Q790" s="458"/>
      <c r="R790" s="458"/>
      <c r="S790" s="458"/>
      <c r="T790" s="458"/>
      <c r="U790" s="458"/>
      <c r="V790" s="458"/>
      <c r="W790" s="458"/>
    </row>
    <row r="791" spans="1:23" ht="15.75" customHeight="1">
      <c r="A791" s="458"/>
      <c r="B791" s="458"/>
      <c r="C791" s="458"/>
      <c r="D791" s="458"/>
      <c r="E791" s="458"/>
      <c r="F791" s="458"/>
      <c r="G791" s="458"/>
      <c r="H791" s="458"/>
      <c r="I791" s="458"/>
      <c r="J791" s="458"/>
      <c r="K791" s="458"/>
      <c r="L791" s="458"/>
      <c r="M791" s="458"/>
      <c r="N791" s="458"/>
      <c r="O791" s="458"/>
      <c r="P791" s="458"/>
      <c r="Q791" s="458"/>
      <c r="R791" s="458"/>
      <c r="S791" s="458"/>
      <c r="T791" s="458"/>
      <c r="U791" s="458"/>
      <c r="V791" s="458"/>
      <c r="W791" s="458"/>
    </row>
    <row r="792" spans="1:23" ht="15.75" customHeight="1">
      <c r="A792" s="458"/>
      <c r="B792" s="458"/>
      <c r="C792" s="458"/>
      <c r="D792" s="458"/>
      <c r="E792" s="458"/>
      <c r="F792" s="458"/>
      <c r="G792" s="458"/>
      <c r="H792" s="458"/>
      <c r="I792" s="458"/>
      <c r="J792" s="458"/>
      <c r="K792" s="458"/>
      <c r="L792" s="458"/>
      <c r="M792" s="458"/>
      <c r="N792" s="458"/>
      <c r="O792" s="458"/>
      <c r="P792" s="458"/>
      <c r="Q792" s="458"/>
      <c r="R792" s="458"/>
      <c r="S792" s="458"/>
      <c r="T792" s="458"/>
      <c r="U792" s="458"/>
      <c r="V792" s="458"/>
      <c r="W792" s="458"/>
    </row>
    <row r="793" spans="1:23" ht="15.75" customHeight="1">
      <c r="A793" s="458"/>
      <c r="B793" s="458"/>
      <c r="C793" s="458"/>
      <c r="D793" s="458"/>
      <c r="E793" s="458"/>
      <c r="F793" s="458"/>
      <c r="G793" s="458"/>
      <c r="H793" s="458"/>
      <c r="I793" s="458"/>
      <c r="J793" s="458"/>
      <c r="K793" s="458"/>
      <c r="L793" s="458"/>
      <c r="M793" s="458"/>
      <c r="N793" s="458"/>
      <c r="O793" s="458"/>
      <c r="P793" s="458"/>
      <c r="Q793" s="458"/>
      <c r="R793" s="458"/>
      <c r="S793" s="458"/>
      <c r="T793" s="458"/>
      <c r="U793" s="458"/>
      <c r="V793" s="458"/>
      <c r="W793" s="458"/>
    </row>
    <row r="794" spans="1:23" ht="15.75" customHeight="1">
      <c r="A794" s="458"/>
      <c r="B794" s="458"/>
      <c r="C794" s="458"/>
      <c r="D794" s="458"/>
      <c r="E794" s="458"/>
      <c r="F794" s="458"/>
      <c r="G794" s="458"/>
      <c r="H794" s="458"/>
      <c r="I794" s="458"/>
      <c r="J794" s="458"/>
      <c r="K794" s="458"/>
      <c r="L794" s="458"/>
      <c r="M794" s="458"/>
      <c r="N794" s="458"/>
      <c r="O794" s="458"/>
      <c r="P794" s="458"/>
      <c r="Q794" s="458"/>
      <c r="R794" s="458"/>
      <c r="S794" s="458"/>
      <c r="T794" s="458"/>
      <c r="U794" s="458"/>
      <c r="V794" s="458"/>
      <c r="W794" s="458"/>
    </row>
    <row r="795" spans="1:23" ht="15.75" customHeight="1">
      <c r="A795" s="458"/>
      <c r="B795" s="458"/>
      <c r="C795" s="458"/>
      <c r="D795" s="458"/>
      <c r="E795" s="458"/>
      <c r="F795" s="458"/>
      <c r="G795" s="458"/>
      <c r="H795" s="458"/>
      <c r="I795" s="458"/>
      <c r="J795" s="458"/>
      <c r="K795" s="458"/>
      <c r="L795" s="458"/>
      <c r="M795" s="458"/>
      <c r="N795" s="458"/>
      <c r="O795" s="458"/>
      <c r="P795" s="458"/>
      <c r="Q795" s="458"/>
      <c r="R795" s="458"/>
      <c r="S795" s="458"/>
      <c r="T795" s="458"/>
      <c r="U795" s="458"/>
      <c r="V795" s="458"/>
      <c r="W795" s="458"/>
    </row>
    <row r="796" spans="1:23" ht="15.75" customHeight="1">
      <c r="A796" s="458"/>
      <c r="B796" s="458"/>
      <c r="C796" s="458"/>
      <c r="D796" s="458"/>
      <c r="E796" s="458"/>
      <c r="F796" s="458"/>
      <c r="G796" s="458"/>
      <c r="H796" s="458"/>
      <c r="I796" s="458"/>
      <c r="J796" s="458"/>
      <c r="K796" s="458"/>
      <c r="L796" s="458"/>
      <c r="M796" s="458"/>
      <c r="N796" s="458"/>
      <c r="O796" s="458"/>
      <c r="P796" s="458"/>
      <c r="Q796" s="458"/>
      <c r="R796" s="458"/>
      <c r="S796" s="458"/>
      <c r="T796" s="458"/>
      <c r="U796" s="458"/>
      <c r="V796" s="458"/>
      <c r="W796" s="458"/>
    </row>
    <row r="797" spans="1:23" ht="15.75" customHeight="1">
      <c r="A797" s="458"/>
      <c r="B797" s="458"/>
      <c r="C797" s="458"/>
      <c r="D797" s="458"/>
      <c r="E797" s="458"/>
      <c r="F797" s="458"/>
      <c r="G797" s="458"/>
      <c r="H797" s="458"/>
      <c r="I797" s="458"/>
      <c r="J797" s="458"/>
      <c r="K797" s="458"/>
      <c r="L797" s="458"/>
      <c r="M797" s="458"/>
      <c r="N797" s="458"/>
      <c r="O797" s="458"/>
      <c r="P797" s="458"/>
      <c r="Q797" s="458"/>
      <c r="R797" s="458"/>
      <c r="S797" s="458"/>
      <c r="T797" s="458"/>
      <c r="U797" s="458"/>
      <c r="V797" s="458"/>
      <c r="W797" s="458"/>
    </row>
    <row r="798" spans="1:23" ht="15.75" customHeight="1">
      <c r="A798" s="458"/>
      <c r="B798" s="458"/>
      <c r="C798" s="458"/>
      <c r="D798" s="458"/>
      <c r="E798" s="458"/>
      <c r="F798" s="458"/>
      <c r="G798" s="458"/>
      <c r="H798" s="458"/>
      <c r="I798" s="458"/>
      <c r="J798" s="458"/>
      <c r="K798" s="458"/>
      <c r="L798" s="458"/>
      <c r="M798" s="458"/>
      <c r="N798" s="458"/>
      <c r="O798" s="458"/>
      <c r="P798" s="458"/>
      <c r="Q798" s="458"/>
      <c r="R798" s="458"/>
      <c r="S798" s="458"/>
      <c r="T798" s="458"/>
      <c r="U798" s="458"/>
      <c r="V798" s="458"/>
      <c r="W798" s="458"/>
    </row>
    <row r="799" spans="1:23" ht="15.75" customHeight="1">
      <c r="A799" s="458"/>
      <c r="B799" s="458"/>
      <c r="C799" s="458"/>
      <c r="D799" s="458"/>
      <c r="E799" s="458"/>
      <c r="F799" s="458"/>
      <c r="G799" s="458"/>
      <c r="H799" s="458"/>
      <c r="I799" s="458"/>
      <c r="J799" s="458"/>
      <c r="K799" s="458"/>
      <c r="L799" s="458"/>
      <c r="M799" s="458"/>
      <c r="N799" s="458"/>
      <c r="O799" s="458"/>
      <c r="P799" s="458"/>
      <c r="Q799" s="458"/>
      <c r="R799" s="458"/>
      <c r="S799" s="458"/>
      <c r="T799" s="458"/>
      <c r="U799" s="458"/>
      <c r="V799" s="458"/>
      <c r="W799" s="458"/>
    </row>
    <row r="800" spans="1:23" ht="15.75" customHeight="1">
      <c r="A800" s="458"/>
      <c r="B800" s="458"/>
      <c r="C800" s="458"/>
      <c r="D800" s="458"/>
      <c r="E800" s="458"/>
      <c r="F800" s="458"/>
      <c r="G800" s="458"/>
      <c r="H800" s="458"/>
      <c r="I800" s="458"/>
      <c r="J800" s="458"/>
      <c r="K800" s="458"/>
      <c r="L800" s="458"/>
      <c r="M800" s="458"/>
      <c r="N800" s="458"/>
      <c r="O800" s="458"/>
      <c r="P800" s="458"/>
      <c r="Q800" s="458"/>
      <c r="R800" s="458"/>
      <c r="S800" s="458"/>
      <c r="T800" s="458"/>
      <c r="U800" s="458"/>
      <c r="V800" s="458"/>
      <c r="W800" s="458"/>
    </row>
    <row r="801" spans="1:23" ht="15.75" customHeight="1">
      <c r="A801" s="458"/>
      <c r="B801" s="458"/>
      <c r="C801" s="458"/>
      <c r="D801" s="458"/>
      <c r="E801" s="458"/>
      <c r="F801" s="458"/>
      <c r="G801" s="458"/>
      <c r="H801" s="458"/>
      <c r="I801" s="458"/>
      <c r="J801" s="458"/>
      <c r="K801" s="458"/>
      <c r="L801" s="458"/>
      <c r="M801" s="458"/>
      <c r="N801" s="458"/>
      <c r="O801" s="458"/>
      <c r="P801" s="458"/>
      <c r="Q801" s="458"/>
      <c r="R801" s="458"/>
      <c r="S801" s="458"/>
      <c r="T801" s="458"/>
      <c r="U801" s="458"/>
      <c r="V801" s="458"/>
      <c r="W801" s="458"/>
    </row>
    <row r="802" spans="1:23" ht="15.75" customHeight="1">
      <c r="A802" s="458"/>
      <c r="B802" s="458"/>
      <c r="C802" s="458"/>
      <c r="D802" s="458"/>
      <c r="E802" s="458"/>
      <c r="F802" s="458"/>
      <c r="G802" s="458"/>
      <c r="H802" s="458"/>
      <c r="I802" s="458"/>
      <c r="J802" s="458"/>
      <c r="K802" s="458"/>
      <c r="L802" s="458"/>
      <c r="M802" s="458"/>
      <c r="N802" s="458"/>
      <c r="O802" s="458"/>
      <c r="P802" s="458"/>
      <c r="Q802" s="458"/>
      <c r="R802" s="458"/>
      <c r="S802" s="458"/>
      <c r="T802" s="458"/>
      <c r="U802" s="458"/>
      <c r="V802" s="458"/>
      <c r="W802" s="458"/>
    </row>
    <row r="803" spans="1:23" ht="15.75" customHeight="1">
      <c r="A803" s="458"/>
      <c r="B803" s="458"/>
      <c r="C803" s="458"/>
      <c r="D803" s="458"/>
      <c r="E803" s="458"/>
      <c r="F803" s="458"/>
      <c r="G803" s="458"/>
      <c r="H803" s="458"/>
      <c r="I803" s="458"/>
      <c r="J803" s="458"/>
      <c r="K803" s="458"/>
      <c r="L803" s="458"/>
      <c r="M803" s="458"/>
      <c r="N803" s="458"/>
      <c r="O803" s="458"/>
      <c r="P803" s="458"/>
      <c r="Q803" s="458"/>
      <c r="R803" s="458"/>
      <c r="S803" s="458"/>
      <c r="T803" s="458"/>
      <c r="U803" s="458"/>
      <c r="V803" s="458"/>
      <c r="W803" s="458"/>
    </row>
    <row r="804" spans="1:23" ht="15.75" customHeight="1">
      <c r="A804" s="458"/>
      <c r="B804" s="458"/>
      <c r="C804" s="458"/>
      <c r="D804" s="458"/>
      <c r="E804" s="458"/>
      <c r="F804" s="458"/>
      <c r="G804" s="458"/>
      <c r="H804" s="458"/>
      <c r="I804" s="458"/>
      <c r="J804" s="458"/>
      <c r="K804" s="458"/>
      <c r="L804" s="458"/>
      <c r="M804" s="458"/>
      <c r="N804" s="458"/>
      <c r="O804" s="458"/>
      <c r="P804" s="458"/>
      <c r="Q804" s="458"/>
      <c r="R804" s="458"/>
      <c r="S804" s="458"/>
      <c r="T804" s="458"/>
      <c r="U804" s="458"/>
      <c r="V804" s="458"/>
      <c r="W804" s="458"/>
    </row>
    <row r="805" spans="1:23" ht="15.75" customHeight="1">
      <c r="A805" s="458"/>
      <c r="B805" s="458"/>
      <c r="C805" s="458"/>
      <c r="D805" s="458"/>
      <c r="E805" s="458"/>
      <c r="F805" s="458"/>
      <c r="G805" s="458"/>
      <c r="H805" s="458"/>
      <c r="I805" s="458"/>
      <c r="J805" s="458"/>
      <c r="K805" s="458"/>
      <c r="L805" s="458"/>
      <c r="M805" s="458"/>
      <c r="N805" s="458"/>
      <c r="O805" s="458"/>
      <c r="P805" s="458"/>
      <c r="Q805" s="458"/>
      <c r="R805" s="458"/>
      <c r="S805" s="458"/>
      <c r="T805" s="458"/>
      <c r="U805" s="458"/>
      <c r="V805" s="458"/>
      <c r="W805" s="458"/>
    </row>
    <row r="806" spans="1:23" ht="15.75" customHeight="1">
      <c r="A806" s="458"/>
      <c r="B806" s="458"/>
      <c r="C806" s="458"/>
      <c r="D806" s="458"/>
      <c r="E806" s="458"/>
      <c r="F806" s="458"/>
      <c r="G806" s="458"/>
      <c r="H806" s="458"/>
      <c r="I806" s="458"/>
      <c r="J806" s="458"/>
      <c r="K806" s="458"/>
      <c r="L806" s="458"/>
      <c r="M806" s="458"/>
      <c r="N806" s="458"/>
      <c r="O806" s="458"/>
      <c r="P806" s="458"/>
      <c r="Q806" s="458"/>
      <c r="R806" s="458"/>
      <c r="S806" s="458"/>
      <c r="T806" s="458"/>
      <c r="U806" s="458"/>
      <c r="V806" s="458"/>
      <c r="W806" s="458"/>
    </row>
    <row r="807" spans="1:23" ht="15.75" customHeight="1">
      <c r="A807" s="458"/>
      <c r="B807" s="458"/>
      <c r="C807" s="458"/>
      <c r="D807" s="458"/>
      <c r="E807" s="458"/>
      <c r="F807" s="458"/>
      <c r="G807" s="458"/>
      <c r="H807" s="458"/>
      <c r="I807" s="458"/>
      <c r="J807" s="458"/>
      <c r="K807" s="458"/>
      <c r="L807" s="458"/>
      <c r="M807" s="458"/>
      <c r="N807" s="458"/>
      <c r="O807" s="458"/>
      <c r="P807" s="458"/>
      <c r="Q807" s="458"/>
      <c r="R807" s="458"/>
      <c r="S807" s="458"/>
      <c r="T807" s="458"/>
      <c r="U807" s="458"/>
      <c r="V807" s="458"/>
      <c r="W807" s="458"/>
    </row>
    <row r="808" spans="1:23" ht="15.75" customHeight="1">
      <c r="A808" s="458"/>
      <c r="B808" s="458"/>
      <c r="C808" s="458"/>
      <c r="D808" s="458"/>
      <c r="E808" s="458"/>
      <c r="F808" s="458"/>
      <c r="G808" s="458"/>
      <c r="H808" s="458"/>
      <c r="I808" s="458"/>
      <c r="J808" s="458"/>
      <c r="K808" s="458"/>
      <c r="L808" s="458"/>
      <c r="M808" s="458"/>
      <c r="N808" s="458"/>
      <c r="O808" s="458"/>
      <c r="P808" s="458"/>
      <c r="Q808" s="458"/>
      <c r="R808" s="458"/>
      <c r="S808" s="458"/>
      <c r="T808" s="458"/>
      <c r="U808" s="458"/>
      <c r="V808" s="458"/>
      <c r="W808" s="458"/>
    </row>
    <row r="809" spans="1:23" ht="15.75" customHeight="1">
      <c r="A809" s="458"/>
      <c r="B809" s="458"/>
      <c r="C809" s="458"/>
      <c r="D809" s="458"/>
      <c r="E809" s="458"/>
      <c r="F809" s="458"/>
      <c r="G809" s="458"/>
      <c r="H809" s="458"/>
      <c r="I809" s="458"/>
      <c r="J809" s="458"/>
      <c r="K809" s="458"/>
      <c r="L809" s="458"/>
      <c r="M809" s="458"/>
      <c r="N809" s="458"/>
      <c r="O809" s="458"/>
      <c r="P809" s="458"/>
      <c r="Q809" s="458"/>
      <c r="R809" s="458"/>
      <c r="S809" s="458"/>
      <c r="T809" s="458"/>
      <c r="U809" s="458"/>
      <c r="V809" s="458"/>
      <c r="W809" s="458"/>
    </row>
    <row r="810" spans="1:23" ht="15.75" customHeight="1">
      <c r="A810" s="458"/>
      <c r="B810" s="458"/>
      <c r="C810" s="458"/>
      <c r="D810" s="458"/>
      <c r="E810" s="458"/>
      <c r="F810" s="458"/>
      <c r="G810" s="458"/>
      <c r="H810" s="458"/>
      <c r="I810" s="458"/>
      <c r="J810" s="458"/>
      <c r="K810" s="458"/>
      <c r="L810" s="458"/>
      <c r="M810" s="458"/>
      <c r="N810" s="458"/>
      <c r="O810" s="458"/>
      <c r="P810" s="458"/>
      <c r="Q810" s="458"/>
      <c r="R810" s="458"/>
      <c r="S810" s="458"/>
      <c r="T810" s="458"/>
      <c r="U810" s="458"/>
      <c r="V810" s="458"/>
      <c r="W810" s="458"/>
    </row>
    <row r="811" spans="1:23" ht="15.75" customHeight="1">
      <c r="A811" s="458"/>
      <c r="B811" s="458"/>
      <c r="C811" s="458"/>
      <c r="D811" s="458"/>
      <c r="E811" s="458"/>
      <c r="F811" s="458"/>
      <c r="G811" s="458"/>
      <c r="H811" s="458"/>
      <c r="I811" s="458"/>
      <c r="J811" s="458"/>
      <c r="K811" s="458"/>
      <c r="L811" s="458"/>
      <c r="M811" s="458"/>
      <c r="N811" s="458"/>
      <c r="O811" s="458"/>
      <c r="P811" s="458"/>
      <c r="Q811" s="458"/>
      <c r="R811" s="458"/>
      <c r="S811" s="458"/>
      <c r="T811" s="458"/>
      <c r="U811" s="458"/>
      <c r="V811" s="458"/>
      <c r="W811" s="458"/>
    </row>
    <row r="812" spans="1:23" ht="15.75" customHeight="1">
      <c r="A812" s="458"/>
      <c r="B812" s="458"/>
      <c r="C812" s="458"/>
      <c r="D812" s="458"/>
      <c r="E812" s="458"/>
      <c r="F812" s="458"/>
      <c r="G812" s="458"/>
      <c r="H812" s="458"/>
      <c r="I812" s="458"/>
      <c r="J812" s="458"/>
      <c r="K812" s="458"/>
      <c r="L812" s="458"/>
      <c r="M812" s="458"/>
      <c r="N812" s="458"/>
      <c r="O812" s="458"/>
      <c r="P812" s="458"/>
      <c r="Q812" s="458"/>
      <c r="R812" s="458"/>
      <c r="S812" s="458"/>
      <c r="T812" s="458"/>
      <c r="U812" s="458"/>
      <c r="V812" s="458"/>
      <c r="W812" s="458"/>
    </row>
    <row r="813" spans="1:23" ht="15.75" customHeight="1">
      <c r="A813" s="458"/>
      <c r="B813" s="458"/>
      <c r="C813" s="458"/>
      <c r="D813" s="458"/>
      <c r="E813" s="458"/>
      <c r="F813" s="458"/>
      <c r="G813" s="458"/>
      <c r="H813" s="458"/>
      <c r="I813" s="458"/>
      <c r="J813" s="458"/>
      <c r="K813" s="458"/>
      <c r="L813" s="458"/>
      <c r="M813" s="458"/>
      <c r="N813" s="458"/>
      <c r="O813" s="458"/>
      <c r="P813" s="458"/>
      <c r="Q813" s="458"/>
      <c r="R813" s="458"/>
      <c r="S813" s="458"/>
      <c r="T813" s="458"/>
      <c r="U813" s="458"/>
      <c r="V813" s="458"/>
      <c r="W813" s="458"/>
    </row>
    <row r="814" spans="1:23" ht="15.75" customHeight="1">
      <c r="A814" s="458"/>
      <c r="B814" s="458"/>
      <c r="C814" s="458"/>
      <c r="D814" s="458"/>
      <c r="E814" s="458"/>
      <c r="F814" s="458"/>
      <c r="G814" s="458"/>
      <c r="H814" s="458"/>
      <c r="I814" s="458"/>
      <c r="J814" s="458"/>
      <c r="K814" s="458"/>
      <c r="L814" s="458"/>
      <c r="M814" s="458"/>
      <c r="N814" s="458"/>
      <c r="O814" s="458"/>
      <c r="P814" s="458"/>
      <c r="Q814" s="458"/>
      <c r="R814" s="458"/>
      <c r="S814" s="458"/>
      <c r="T814" s="458"/>
      <c r="U814" s="458"/>
      <c r="V814" s="458"/>
      <c r="W814" s="458"/>
    </row>
    <row r="815" spans="1:23" ht="15.75" customHeight="1">
      <c r="A815" s="458"/>
      <c r="B815" s="458"/>
      <c r="C815" s="458"/>
      <c r="D815" s="458"/>
      <c r="E815" s="458"/>
      <c r="F815" s="458"/>
      <c r="G815" s="458"/>
      <c r="H815" s="458"/>
      <c r="I815" s="458"/>
      <c r="J815" s="458"/>
      <c r="K815" s="458"/>
      <c r="L815" s="458"/>
      <c r="M815" s="458"/>
      <c r="N815" s="458"/>
      <c r="O815" s="458"/>
      <c r="P815" s="458"/>
      <c r="Q815" s="458"/>
      <c r="R815" s="458"/>
      <c r="S815" s="458"/>
      <c r="T815" s="458"/>
      <c r="U815" s="458"/>
      <c r="V815" s="458"/>
      <c r="W815" s="458"/>
    </row>
    <row r="816" spans="1:23" ht="15.75" customHeight="1">
      <c r="A816" s="458"/>
      <c r="B816" s="458"/>
      <c r="C816" s="458"/>
      <c r="D816" s="458"/>
      <c r="E816" s="458"/>
      <c r="F816" s="458"/>
      <c r="G816" s="458"/>
      <c r="H816" s="458"/>
      <c r="I816" s="458"/>
      <c r="J816" s="458"/>
      <c r="K816" s="458"/>
      <c r="L816" s="458"/>
      <c r="M816" s="458"/>
      <c r="N816" s="458"/>
      <c r="O816" s="458"/>
      <c r="P816" s="458"/>
      <c r="Q816" s="458"/>
      <c r="R816" s="458"/>
      <c r="S816" s="458"/>
      <c r="T816" s="458"/>
      <c r="U816" s="458"/>
      <c r="V816" s="458"/>
      <c r="W816" s="458"/>
    </row>
    <row r="817" spans="1:23" ht="15.75" customHeight="1">
      <c r="A817" s="458"/>
      <c r="B817" s="458"/>
      <c r="C817" s="458"/>
      <c r="D817" s="458"/>
      <c r="E817" s="458"/>
      <c r="F817" s="458"/>
      <c r="G817" s="458"/>
      <c r="H817" s="458"/>
      <c r="I817" s="458"/>
      <c r="J817" s="458"/>
      <c r="K817" s="458"/>
      <c r="L817" s="458"/>
      <c r="M817" s="458"/>
      <c r="N817" s="458"/>
      <c r="O817" s="458"/>
      <c r="P817" s="458"/>
      <c r="Q817" s="458"/>
      <c r="R817" s="458"/>
      <c r="S817" s="458"/>
      <c r="T817" s="458"/>
      <c r="U817" s="458"/>
      <c r="V817" s="458"/>
      <c r="W817" s="458"/>
    </row>
    <row r="818" spans="1:23" ht="15.75" customHeight="1">
      <c r="A818" s="458"/>
      <c r="B818" s="458"/>
      <c r="C818" s="458"/>
      <c r="D818" s="458"/>
      <c r="E818" s="458"/>
      <c r="F818" s="458"/>
      <c r="G818" s="458"/>
      <c r="H818" s="458"/>
      <c r="I818" s="458"/>
      <c r="J818" s="458"/>
      <c r="K818" s="458"/>
      <c r="L818" s="458"/>
      <c r="M818" s="458"/>
      <c r="N818" s="458"/>
      <c r="O818" s="458"/>
      <c r="P818" s="458"/>
      <c r="Q818" s="458"/>
      <c r="R818" s="458"/>
      <c r="S818" s="458"/>
      <c r="T818" s="458"/>
      <c r="U818" s="458"/>
      <c r="V818" s="458"/>
      <c r="W818" s="458"/>
    </row>
    <row r="819" spans="1:23" ht="15.75" customHeight="1">
      <c r="A819" s="458"/>
      <c r="B819" s="458"/>
      <c r="C819" s="458"/>
      <c r="D819" s="458"/>
      <c r="E819" s="458"/>
      <c r="F819" s="458"/>
      <c r="G819" s="458"/>
      <c r="H819" s="458"/>
      <c r="I819" s="458"/>
      <c r="J819" s="458"/>
      <c r="K819" s="458"/>
      <c r="L819" s="458"/>
      <c r="M819" s="458"/>
      <c r="N819" s="458"/>
      <c r="O819" s="458"/>
      <c r="P819" s="458"/>
      <c r="Q819" s="458"/>
      <c r="R819" s="458"/>
      <c r="S819" s="458"/>
      <c r="T819" s="458"/>
      <c r="U819" s="458"/>
      <c r="V819" s="458"/>
      <c r="W819" s="458"/>
    </row>
    <row r="820" spans="1:23" ht="15.75" customHeight="1">
      <c r="A820" s="458"/>
      <c r="B820" s="458"/>
      <c r="C820" s="458"/>
      <c r="D820" s="458"/>
      <c r="E820" s="458"/>
      <c r="F820" s="458"/>
      <c r="G820" s="458"/>
      <c r="H820" s="458"/>
      <c r="I820" s="458"/>
      <c r="J820" s="458"/>
      <c r="K820" s="458"/>
      <c r="L820" s="458"/>
      <c r="M820" s="458"/>
      <c r="N820" s="458"/>
      <c r="O820" s="458"/>
      <c r="P820" s="458"/>
      <c r="Q820" s="458"/>
      <c r="R820" s="458"/>
      <c r="S820" s="458"/>
      <c r="T820" s="458"/>
      <c r="U820" s="458"/>
      <c r="V820" s="458"/>
      <c r="W820" s="458"/>
    </row>
    <row r="821" spans="1:23" ht="15.75" customHeight="1">
      <c r="A821" s="458"/>
      <c r="B821" s="458"/>
      <c r="C821" s="458"/>
      <c r="D821" s="458"/>
      <c r="E821" s="458"/>
      <c r="F821" s="458"/>
      <c r="G821" s="458"/>
      <c r="H821" s="458"/>
      <c r="I821" s="458"/>
      <c r="J821" s="458"/>
      <c r="K821" s="458"/>
      <c r="L821" s="458"/>
      <c r="M821" s="458"/>
      <c r="N821" s="458"/>
      <c r="O821" s="458"/>
      <c r="P821" s="458"/>
      <c r="Q821" s="458"/>
      <c r="R821" s="458"/>
      <c r="S821" s="458"/>
      <c r="T821" s="458"/>
      <c r="U821" s="458"/>
      <c r="V821" s="458"/>
      <c r="W821" s="458"/>
    </row>
    <row r="822" spans="1:23" ht="15.75" customHeight="1">
      <c r="A822" s="458"/>
      <c r="B822" s="458"/>
      <c r="C822" s="458"/>
      <c r="D822" s="458"/>
      <c r="E822" s="458"/>
      <c r="F822" s="458"/>
      <c r="G822" s="458"/>
      <c r="H822" s="458"/>
      <c r="I822" s="458"/>
      <c r="J822" s="458"/>
      <c r="K822" s="458"/>
      <c r="L822" s="458"/>
      <c r="M822" s="458"/>
      <c r="N822" s="458"/>
      <c r="O822" s="458"/>
      <c r="P822" s="458"/>
      <c r="Q822" s="458"/>
      <c r="R822" s="458"/>
      <c r="S822" s="458"/>
      <c r="T822" s="458"/>
      <c r="U822" s="458"/>
      <c r="V822" s="458"/>
      <c r="W822" s="458"/>
    </row>
    <row r="823" spans="1:23" ht="15.75" customHeight="1">
      <c r="A823" s="458"/>
      <c r="B823" s="458"/>
      <c r="C823" s="458"/>
      <c r="D823" s="458"/>
      <c r="E823" s="458"/>
      <c r="F823" s="458"/>
      <c r="G823" s="458"/>
      <c r="H823" s="458"/>
      <c r="I823" s="458"/>
      <c r="J823" s="458"/>
      <c r="K823" s="458"/>
      <c r="L823" s="458"/>
      <c r="M823" s="458"/>
      <c r="N823" s="458"/>
      <c r="O823" s="458"/>
      <c r="P823" s="458"/>
      <c r="Q823" s="458"/>
      <c r="R823" s="458"/>
      <c r="S823" s="458"/>
      <c r="T823" s="458"/>
      <c r="U823" s="458"/>
      <c r="V823" s="458"/>
      <c r="W823" s="458"/>
    </row>
    <row r="824" spans="1:23" ht="15.75" customHeight="1">
      <c r="A824" s="458"/>
      <c r="B824" s="458"/>
      <c r="C824" s="458"/>
      <c r="D824" s="458"/>
      <c r="E824" s="458"/>
      <c r="F824" s="458"/>
      <c r="G824" s="458"/>
      <c r="H824" s="458"/>
      <c r="I824" s="458"/>
      <c r="J824" s="458"/>
      <c r="K824" s="458"/>
      <c r="L824" s="458"/>
      <c r="M824" s="458"/>
      <c r="N824" s="458"/>
      <c r="O824" s="458"/>
      <c r="P824" s="458"/>
      <c r="Q824" s="458"/>
      <c r="R824" s="458"/>
      <c r="S824" s="458"/>
      <c r="T824" s="458"/>
      <c r="U824" s="458"/>
      <c r="V824" s="458"/>
      <c r="W824" s="458"/>
    </row>
    <row r="825" spans="1:23" ht="15.75" customHeight="1">
      <c r="A825" s="458"/>
      <c r="B825" s="458"/>
      <c r="C825" s="458"/>
      <c r="D825" s="458"/>
      <c r="E825" s="458"/>
      <c r="F825" s="458"/>
      <c r="G825" s="458"/>
      <c r="H825" s="458"/>
      <c r="I825" s="458"/>
      <c r="J825" s="458"/>
      <c r="K825" s="458"/>
      <c r="L825" s="458"/>
      <c r="M825" s="458"/>
      <c r="N825" s="458"/>
      <c r="O825" s="458"/>
      <c r="P825" s="458"/>
      <c r="Q825" s="458"/>
      <c r="R825" s="458"/>
      <c r="S825" s="458"/>
      <c r="T825" s="458"/>
      <c r="U825" s="458"/>
      <c r="V825" s="458"/>
      <c r="W825" s="458"/>
    </row>
    <row r="826" spans="1:23" ht="15.75" customHeight="1">
      <c r="A826" s="458"/>
      <c r="B826" s="458"/>
      <c r="C826" s="458"/>
      <c r="D826" s="458"/>
      <c r="E826" s="458"/>
      <c r="F826" s="458"/>
      <c r="G826" s="458"/>
      <c r="H826" s="458"/>
      <c r="I826" s="458"/>
      <c r="J826" s="458"/>
      <c r="K826" s="458"/>
      <c r="L826" s="458"/>
      <c r="M826" s="458"/>
      <c r="N826" s="458"/>
      <c r="O826" s="458"/>
      <c r="P826" s="458"/>
      <c r="Q826" s="458"/>
      <c r="R826" s="458"/>
      <c r="S826" s="458"/>
      <c r="T826" s="458"/>
      <c r="U826" s="458"/>
      <c r="V826" s="458"/>
      <c r="W826" s="458"/>
    </row>
    <row r="827" spans="1:23" ht="15.75" customHeight="1">
      <c r="A827" s="458"/>
      <c r="B827" s="458"/>
      <c r="C827" s="458"/>
      <c r="D827" s="458"/>
      <c r="E827" s="458"/>
      <c r="F827" s="458"/>
      <c r="G827" s="458"/>
      <c r="H827" s="458"/>
      <c r="I827" s="458"/>
      <c r="J827" s="458"/>
      <c r="K827" s="458"/>
      <c r="L827" s="458"/>
      <c r="M827" s="458"/>
      <c r="N827" s="458"/>
      <c r="O827" s="458"/>
      <c r="P827" s="458"/>
      <c r="Q827" s="458"/>
      <c r="R827" s="458"/>
      <c r="S827" s="458"/>
      <c r="T827" s="458"/>
      <c r="U827" s="458"/>
      <c r="V827" s="458"/>
      <c r="W827" s="458"/>
    </row>
    <row r="828" spans="1:23" ht="15.75" customHeight="1">
      <c r="A828" s="458"/>
      <c r="B828" s="458"/>
      <c r="C828" s="458"/>
      <c r="D828" s="458"/>
      <c r="E828" s="458"/>
      <c r="F828" s="458"/>
      <c r="G828" s="458"/>
      <c r="H828" s="458"/>
      <c r="I828" s="458"/>
      <c r="J828" s="458"/>
      <c r="K828" s="458"/>
      <c r="L828" s="458"/>
      <c r="M828" s="458"/>
      <c r="N828" s="458"/>
      <c r="O828" s="458"/>
      <c r="P828" s="458"/>
      <c r="Q828" s="458"/>
      <c r="R828" s="458"/>
      <c r="S828" s="458"/>
      <c r="T828" s="458"/>
      <c r="U828" s="458"/>
      <c r="V828" s="458"/>
      <c r="W828" s="458"/>
    </row>
    <row r="829" spans="1:23" ht="15.75" customHeight="1">
      <c r="A829" s="458"/>
      <c r="B829" s="458"/>
      <c r="C829" s="458"/>
      <c r="D829" s="458"/>
      <c r="E829" s="458"/>
      <c r="F829" s="458"/>
      <c r="G829" s="458"/>
      <c r="H829" s="458"/>
      <c r="I829" s="458"/>
      <c r="J829" s="458"/>
      <c r="K829" s="458"/>
      <c r="L829" s="458"/>
      <c r="M829" s="458"/>
      <c r="N829" s="458"/>
      <c r="O829" s="458"/>
      <c r="P829" s="458"/>
      <c r="Q829" s="458"/>
      <c r="R829" s="458"/>
      <c r="S829" s="458"/>
      <c r="T829" s="458"/>
      <c r="U829" s="458"/>
      <c r="V829" s="458"/>
      <c r="W829" s="458"/>
    </row>
    <row r="830" spans="1:23" ht="15.75" customHeight="1">
      <c r="A830" s="458"/>
      <c r="B830" s="458"/>
      <c r="C830" s="458"/>
      <c r="D830" s="458"/>
      <c r="E830" s="458"/>
      <c r="F830" s="458"/>
      <c r="G830" s="458"/>
      <c r="H830" s="458"/>
      <c r="I830" s="458"/>
      <c r="J830" s="458"/>
      <c r="K830" s="458"/>
      <c r="L830" s="458"/>
      <c r="M830" s="458"/>
      <c r="N830" s="458"/>
      <c r="O830" s="458"/>
      <c r="P830" s="458"/>
      <c r="Q830" s="458"/>
      <c r="R830" s="458"/>
      <c r="S830" s="458"/>
      <c r="T830" s="458"/>
      <c r="U830" s="458"/>
      <c r="V830" s="458"/>
      <c r="W830" s="458"/>
    </row>
    <row r="831" spans="1:23" ht="15.75" customHeight="1">
      <c r="A831" s="458"/>
      <c r="B831" s="458"/>
      <c r="C831" s="458"/>
      <c r="D831" s="458"/>
      <c r="E831" s="458"/>
      <c r="F831" s="458"/>
      <c r="G831" s="458"/>
      <c r="H831" s="458"/>
      <c r="I831" s="458"/>
      <c r="J831" s="458"/>
      <c r="K831" s="458"/>
      <c r="L831" s="458"/>
      <c r="M831" s="458"/>
      <c r="N831" s="458"/>
      <c r="O831" s="458"/>
      <c r="P831" s="458"/>
      <c r="Q831" s="458"/>
      <c r="R831" s="458"/>
      <c r="S831" s="458"/>
      <c r="T831" s="458"/>
      <c r="U831" s="458"/>
      <c r="V831" s="458"/>
      <c r="W831" s="458"/>
    </row>
    <row r="832" spans="1:23" ht="15.75" customHeight="1">
      <c r="A832" s="458"/>
      <c r="B832" s="458"/>
      <c r="C832" s="458"/>
      <c r="D832" s="458"/>
      <c r="E832" s="458"/>
      <c r="F832" s="458"/>
      <c r="G832" s="458"/>
      <c r="H832" s="458"/>
      <c r="I832" s="458"/>
      <c r="J832" s="458"/>
      <c r="K832" s="458"/>
      <c r="L832" s="458"/>
      <c r="M832" s="458"/>
      <c r="N832" s="458"/>
      <c r="O832" s="458"/>
      <c r="P832" s="458"/>
      <c r="Q832" s="458"/>
      <c r="R832" s="458"/>
      <c r="S832" s="458"/>
      <c r="T832" s="458"/>
      <c r="U832" s="458"/>
      <c r="V832" s="458"/>
      <c r="W832" s="458"/>
    </row>
    <row r="833" spans="1:23" ht="15.75" customHeight="1">
      <c r="A833" s="458"/>
      <c r="B833" s="458"/>
      <c r="C833" s="458"/>
      <c r="D833" s="458"/>
      <c r="E833" s="458"/>
      <c r="F833" s="458"/>
      <c r="G833" s="458"/>
      <c r="H833" s="458"/>
      <c r="I833" s="458"/>
      <c r="J833" s="458"/>
      <c r="K833" s="458"/>
      <c r="L833" s="458"/>
      <c r="M833" s="458"/>
      <c r="N833" s="458"/>
      <c r="O833" s="458"/>
      <c r="P833" s="458"/>
      <c r="Q833" s="458"/>
      <c r="R833" s="458"/>
      <c r="S833" s="458"/>
      <c r="T833" s="458"/>
      <c r="U833" s="458"/>
      <c r="V833" s="458"/>
      <c r="W833" s="458"/>
    </row>
    <row r="834" spans="1:23" ht="15.75" customHeight="1">
      <c r="A834" s="458"/>
      <c r="B834" s="458"/>
      <c r="C834" s="458"/>
      <c r="D834" s="458"/>
      <c r="E834" s="458"/>
      <c r="F834" s="458"/>
      <c r="G834" s="458"/>
      <c r="H834" s="458"/>
      <c r="I834" s="458"/>
      <c r="J834" s="458"/>
      <c r="K834" s="458"/>
      <c r="L834" s="458"/>
      <c r="M834" s="458"/>
      <c r="N834" s="458"/>
      <c r="O834" s="458"/>
      <c r="P834" s="458"/>
      <c r="Q834" s="458"/>
      <c r="R834" s="458"/>
      <c r="S834" s="458"/>
      <c r="T834" s="458"/>
      <c r="U834" s="458"/>
      <c r="V834" s="458"/>
      <c r="W834" s="458"/>
    </row>
    <row r="835" spans="1:23" ht="15.75" customHeight="1">
      <c r="A835" s="458"/>
      <c r="B835" s="458"/>
      <c r="C835" s="458"/>
      <c r="D835" s="458"/>
      <c r="E835" s="458"/>
      <c r="F835" s="458"/>
      <c r="G835" s="458"/>
      <c r="H835" s="458"/>
      <c r="I835" s="458"/>
      <c r="J835" s="458"/>
      <c r="K835" s="458"/>
      <c r="L835" s="458"/>
      <c r="M835" s="458"/>
      <c r="N835" s="458"/>
      <c r="O835" s="458"/>
      <c r="P835" s="458"/>
      <c r="Q835" s="458"/>
      <c r="R835" s="458"/>
      <c r="S835" s="458"/>
      <c r="T835" s="458"/>
      <c r="U835" s="458"/>
      <c r="V835" s="458"/>
      <c r="W835" s="458"/>
    </row>
    <row r="836" spans="1:23" ht="15.75" customHeight="1">
      <c r="A836" s="458"/>
      <c r="B836" s="458"/>
      <c r="C836" s="458"/>
      <c r="D836" s="458"/>
      <c r="E836" s="458"/>
      <c r="F836" s="458"/>
      <c r="G836" s="458"/>
      <c r="H836" s="458"/>
      <c r="I836" s="458"/>
      <c r="J836" s="458"/>
      <c r="K836" s="458"/>
      <c r="L836" s="458"/>
      <c r="M836" s="458"/>
      <c r="N836" s="458"/>
      <c r="O836" s="458"/>
      <c r="P836" s="458"/>
      <c r="Q836" s="458"/>
      <c r="R836" s="458"/>
      <c r="S836" s="458"/>
      <c r="T836" s="458"/>
      <c r="U836" s="458"/>
      <c r="V836" s="458"/>
      <c r="W836" s="458"/>
    </row>
    <row r="837" spans="1:23" ht="15.75" customHeight="1">
      <c r="A837" s="458"/>
      <c r="B837" s="458"/>
      <c r="C837" s="458"/>
      <c r="D837" s="458"/>
      <c r="E837" s="458"/>
      <c r="F837" s="458"/>
      <c r="G837" s="458"/>
      <c r="H837" s="458"/>
      <c r="I837" s="458"/>
      <c r="J837" s="458"/>
      <c r="K837" s="458"/>
      <c r="L837" s="458"/>
      <c r="M837" s="458"/>
      <c r="N837" s="458"/>
      <c r="O837" s="458"/>
      <c r="P837" s="458"/>
      <c r="Q837" s="458"/>
      <c r="R837" s="458"/>
      <c r="S837" s="458"/>
      <c r="T837" s="458"/>
      <c r="U837" s="458"/>
      <c r="V837" s="458"/>
      <c r="W837" s="458"/>
    </row>
    <row r="838" spans="1:23" ht="15.75" customHeight="1">
      <c r="A838" s="458"/>
      <c r="B838" s="458"/>
      <c r="C838" s="458"/>
      <c r="D838" s="458"/>
      <c r="E838" s="458"/>
      <c r="F838" s="458"/>
      <c r="G838" s="458"/>
      <c r="H838" s="458"/>
      <c r="I838" s="458"/>
      <c r="J838" s="458"/>
      <c r="K838" s="458"/>
      <c r="L838" s="458"/>
      <c r="M838" s="458"/>
      <c r="N838" s="458"/>
      <c r="O838" s="458"/>
      <c r="P838" s="458"/>
      <c r="Q838" s="458"/>
      <c r="R838" s="458"/>
      <c r="S838" s="458"/>
      <c r="T838" s="458"/>
      <c r="U838" s="458"/>
      <c r="V838" s="458"/>
      <c r="W838" s="458"/>
    </row>
    <row r="839" spans="1:23" ht="15.75" customHeight="1">
      <c r="A839" s="458"/>
      <c r="B839" s="458"/>
      <c r="C839" s="458"/>
      <c r="D839" s="458"/>
      <c r="E839" s="458"/>
      <c r="F839" s="458"/>
      <c r="G839" s="458"/>
      <c r="H839" s="458"/>
      <c r="I839" s="458"/>
      <c r="J839" s="458"/>
      <c r="K839" s="458"/>
      <c r="L839" s="458"/>
      <c r="M839" s="458"/>
      <c r="N839" s="458"/>
      <c r="O839" s="458"/>
      <c r="P839" s="458"/>
      <c r="Q839" s="458"/>
      <c r="R839" s="458"/>
      <c r="S839" s="458"/>
      <c r="T839" s="458"/>
      <c r="U839" s="458"/>
      <c r="V839" s="458"/>
      <c r="W839" s="458"/>
    </row>
    <row r="840" spans="1:23" ht="15.75" customHeight="1">
      <c r="A840" s="458"/>
      <c r="B840" s="458"/>
      <c r="C840" s="458"/>
      <c r="D840" s="458"/>
      <c r="E840" s="458"/>
      <c r="F840" s="458"/>
      <c r="G840" s="458"/>
      <c r="H840" s="458"/>
      <c r="I840" s="458"/>
      <c r="J840" s="458"/>
      <c r="K840" s="458"/>
      <c r="L840" s="458"/>
      <c r="M840" s="458"/>
      <c r="N840" s="458"/>
      <c r="O840" s="458"/>
      <c r="P840" s="458"/>
      <c r="Q840" s="458"/>
      <c r="R840" s="458"/>
      <c r="S840" s="458"/>
      <c r="T840" s="458"/>
      <c r="U840" s="458"/>
      <c r="V840" s="458"/>
      <c r="W840" s="458"/>
    </row>
    <row r="841" spans="1:23" ht="15.75" customHeight="1">
      <c r="A841" s="458"/>
      <c r="B841" s="458"/>
      <c r="C841" s="458"/>
      <c r="D841" s="458"/>
      <c r="E841" s="458"/>
      <c r="F841" s="458"/>
      <c r="G841" s="458"/>
      <c r="H841" s="458"/>
      <c r="I841" s="458"/>
      <c r="J841" s="458"/>
      <c r="K841" s="458"/>
      <c r="L841" s="458"/>
      <c r="M841" s="458"/>
      <c r="N841" s="458"/>
      <c r="O841" s="458"/>
      <c r="P841" s="458"/>
      <c r="Q841" s="458"/>
      <c r="R841" s="458"/>
      <c r="S841" s="458"/>
      <c r="T841" s="458"/>
      <c r="U841" s="458"/>
      <c r="V841" s="458"/>
      <c r="W841" s="458"/>
    </row>
    <row r="842" spans="1:23" ht="15.75" customHeight="1">
      <c r="A842" s="458"/>
      <c r="B842" s="458"/>
      <c r="C842" s="458"/>
      <c r="D842" s="458"/>
      <c r="E842" s="458"/>
      <c r="F842" s="458"/>
      <c r="G842" s="458"/>
      <c r="H842" s="458"/>
      <c r="I842" s="458"/>
      <c r="J842" s="458"/>
      <c r="K842" s="458"/>
      <c r="L842" s="458"/>
      <c r="M842" s="458"/>
      <c r="N842" s="458"/>
      <c r="O842" s="458"/>
      <c r="P842" s="458"/>
      <c r="Q842" s="458"/>
      <c r="R842" s="458"/>
      <c r="S842" s="458"/>
      <c r="T842" s="458"/>
      <c r="U842" s="458"/>
      <c r="V842" s="458"/>
      <c r="W842" s="458"/>
    </row>
    <row r="843" spans="1:23" ht="15.75" customHeight="1">
      <c r="A843" s="458"/>
      <c r="B843" s="458"/>
      <c r="C843" s="458"/>
      <c r="D843" s="458"/>
      <c r="E843" s="458"/>
      <c r="F843" s="458"/>
      <c r="G843" s="458"/>
      <c r="H843" s="458"/>
      <c r="I843" s="458"/>
      <c r="J843" s="458"/>
      <c r="K843" s="458"/>
      <c r="L843" s="458"/>
      <c r="M843" s="458"/>
      <c r="N843" s="458"/>
      <c r="O843" s="458"/>
      <c r="P843" s="458"/>
      <c r="Q843" s="458"/>
      <c r="R843" s="458"/>
      <c r="S843" s="458"/>
      <c r="T843" s="458"/>
      <c r="U843" s="458"/>
      <c r="V843" s="458"/>
      <c r="W843" s="458"/>
    </row>
    <row r="844" spans="1:23" ht="15.75" customHeight="1">
      <c r="A844" s="458"/>
      <c r="B844" s="458"/>
      <c r="C844" s="458"/>
      <c r="D844" s="458"/>
      <c r="E844" s="458"/>
      <c r="F844" s="458"/>
      <c r="G844" s="458"/>
      <c r="H844" s="458"/>
      <c r="I844" s="458"/>
      <c r="J844" s="458"/>
      <c r="K844" s="458"/>
      <c r="L844" s="458"/>
      <c r="M844" s="458"/>
      <c r="N844" s="458"/>
      <c r="O844" s="458"/>
      <c r="P844" s="458"/>
      <c r="Q844" s="458"/>
      <c r="R844" s="458"/>
      <c r="S844" s="458"/>
      <c r="T844" s="458"/>
      <c r="U844" s="458"/>
      <c r="V844" s="458"/>
      <c r="W844" s="458"/>
    </row>
    <row r="845" spans="1:23" ht="15.75" customHeight="1">
      <c r="A845" s="458"/>
      <c r="B845" s="458"/>
      <c r="C845" s="458"/>
      <c r="D845" s="458"/>
      <c r="E845" s="458"/>
      <c r="F845" s="458"/>
      <c r="G845" s="458"/>
      <c r="H845" s="458"/>
      <c r="I845" s="458"/>
      <c r="J845" s="458"/>
      <c r="K845" s="458"/>
      <c r="L845" s="458"/>
      <c r="M845" s="458"/>
      <c r="N845" s="458"/>
      <c r="O845" s="458"/>
      <c r="P845" s="458"/>
      <c r="Q845" s="458"/>
      <c r="R845" s="458"/>
      <c r="S845" s="458"/>
      <c r="T845" s="458"/>
      <c r="U845" s="458"/>
      <c r="V845" s="458"/>
      <c r="W845" s="458"/>
    </row>
    <row r="846" spans="1:23" ht="15.75" customHeight="1">
      <c r="A846" s="458"/>
      <c r="B846" s="458"/>
      <c r="C846" s="458"/>
      <c r="D846" s="458"/>
      <c r="E846" s="458"/>
      <c r="F846" s="458"/>
      <c r="G846" s="458"/>
      <c r="H846" s="458"/>
      <c r="I846" s="458"/>
      <c r="J846" s="458"/>
      <c r="K846" s="458"/>
      <c r="L846" s="458"/>
      <c r="M846" s="458"/>
      <c r="N846" s="458"/>
      <c r="O846" s="458"/>
      <c r="P846" s="458"/>
      <c r="Q846" s="458"/>
      <c r="R846" s="458"/>
      <c r="S846" s="458"/>
      <c r="T846" s="458"/>
      <c r="U846" s="458"/>
      <c r="V846" s="458"/>
      <c r="W846" s="458"/>
    </row>
    <row r="847" spans="1:23" ht="15.75" customHeight="1">
      <c r="A847" s="458"/>
      <c r="B847" s="458"/>
      <c r="C847" s="458"/>
      <c r="D847" s="458"/>
      <c r="E847" s="458"/>
      <c r="F847" s="458"/>
      <c r="G847" s="458"/>
      <c r="H847" s="458"/>
      <c r="I847" s="458"/>
      <c r="J847" s="458"/>
      <c r="K847" s="458"/>
      <c r="L847" s="458"/>
      <c r="M847" s="458"/>
      <c r="N847" s="458"/>
      <c r="O847" s="458"/>
      <c r="P847" s="458"/>
      <c r="Q847" s="458"/>
      <c r="R847" s="458"/>
      <c r="S847" s="458"/>
      <c r="T847" s="458"/>
      <c r="U847" s="458"/>
      <c r="V847" s="458"/>
      <c r="W847" s="458"/>
    </row>
    <row r="848" spans="1:23" ht="15.75" customHeight="1">
      <c r="A848" s="458"/>
      <c r="B848" s="458"/>
      <c r="C848" s="458"/>
      <c r="D848" s="458"/>
      <c r="E848" s="458"/>
      <c r="F848" s="458"/>
      <c r="G848" s="458"/>
      <c r="H848" s="458"/>
      <c r="I848" s="458"/>
      <c r="J848" s="458"/>
      <c r="K848" s="458"/>
      <c r="L848" s="458"/>
      <c r="M848" s="458"/>
      <c r="N848" s="458"/>
      <c r="O848" s="458"/>
      <c r="P848" s="458"/>
      <c r="Q848" s="458"/>
      <c r="R848" s="458"/>
      <c r="S848" s="458"/>
      <c r="T848" s="458"/>
      <c r="U848" s="458"/>
      <c r="V848" s="458"/>
      <c r="W848" s="458"/>
    </row>
    <row r="849" spans="1:23" ht="15.75" customHeight="1">
      <c r="A849" s="458"/>
      <c r="B849" s="458"/>
      <c r="C849" s="458"/>
      <c r="D849" s="458"/>
      <c r="E849" s="458"/>
      <c r="F849" s="458"/>
      <c r="G849" s="458"/>
      <c r="H849" s="458"/>
      <c r="I849" s="458"/>
      <c r="J849" s="458"/>
      <c r="K849" s="458"/>
      <c r="L849" s="458"/>
      <c r="M849" s="458"/>
      <c r="N849" s="458"/>
      <c r="O849" s="458"/>
      <c r="P849" s="458"/>
      <c r="Q849" s="458"/>
      <c r="R849" s="458"/>
      <c r="S849" s="458"/>
      <c r="T849" s="458"/>
      <c r="U849" s="458"/>
      <c r="V849" s="458"/>
      <c r="W849" s="458"/>
    </row>
    <row r="850" spans="1:23" ht="15.75" customHeight="1">
      <c r="A850" s="458"/>
      <c r="B850" s="458"/>
      <c r="C850" s="458"/>
      <c r="D850" s="458"/>
      <c r="E850" s="458"/>
      <c r="F850" s="458"/>
      <c r="G850" s="458"/>
      <c r="H850" s="458"/>
      <c r="I850" s="458"/>
      <c r="J850" s="458"/>
      <c r="K850" s="458"/>
      <c r="L850" s="458"/>
      <c r="M850" s="458"/>
      <c r="N850" s="458"/>
      <c r="O850" s="458"/>
      <c r="P850" s="458"/>
      <c r="Q850" s="458"/>
      <c r="R850" s="458"/>
      <c r="S850" s="458"/>
      <c r="T850" s="458"/>
      <c r="U850" s="458"/>
      <c r="V850" s="458"/>
      <c r="W850" s="458"/>
    </row>
    <row r="851" spans="1:23" ht="15.75" customHeight="1">
      <c r="A851" s="458"/>
      <c r="B851" s="458"/>
      <c r="C851" s="458"/>
      <c r="D851" s="458"/>
      <c r="E851" s="458"/>
      <c r="F851" s="458"/>
      <c r="G851" s="458"/>
      <c r="H851" s="458"/>
      <c r="I851" s="458"/>
      <c r="J851" s="458"/>
      <c r="K851" s="458"/>
      <c r="L851" s="458"/>
      <c r="M851" s="458"/>
      <c r="N851" s="458"/>
      <c r="O851" s="458"/>
      <c r="P851" s="458"/>
      <c r="Q851" s="458"/>
      <c r="R851" s="458"/>
      <c r="S851" s="458"/>
      <c r="T851" s="458"/>
      <c r="U851" s="458"/>
      <c r="V851" s="458"/>
      <c r="W851" s="458"/>
    </row>
    <row r="852" spans="1:23" ht="15.75" customHeight="1">
      <c r="A852" s="458"/>
      <c r="B852" s="458"/>
      <c r="C852" s="458"/>
      <c r="D852" s="458"/>
      <c r="E852" s="458"/>
      <c r="F852" s="458"/>
      <c r="G852" s="458"/>
      <c r="H852" s="458"/>
      <c r="I852" s="458"/>
      <c r="J852" s="458"/>
      <c r="K852" s="458"/>
      <c r="L852" s="458"/>
      <c r="M852" s="458"/>
      <c r="N852" s="458"/>
      <c r="O852" s="458"/>
      <c r="P852" s="458"/>
      <c r="Q852" s="458"/>
      <c r="R852" s="458"/>
      <c r="S852" s="458"/>
      <c r="T852" s="458"/>
      <c r="U852" s="458"/>
      <c r="V852" s="458"/>
      <c r="W852" s="458"/>
    </row>
    <row r="853" spans="1:23" ht="15.75" customHeight="1">
      <c r="A853" s="458"/>
      <c r="B853" s="458"/>
      <c r="C853" s="458"/>
      <c r="D853" s="458"/>
      <c r="E853" s="458"/>
      <c r="F853" s="458"/>
      <c r="G853" s="458"/>
      <c r="H853" s="458"/>
      <c r="I853" s="458"/>
      <c r="J853" s="458"/>
      <c r="K853" s="458"/>
      <c r="L853" s="458"/>
      <c r="M853" s="458"/>
      <c r="N853" s="458"/>
      <c r="O853" s="458"/>
      <c r="P853" s="458"/>
      <c r="Q853" s="458"/>
      <c r="R853" s="458"/>
      <c r="S853" s="458"/>
      <c r="T853" s="458"/>
      <c r="U853" s="458"/>
      <c r="V853" s="458"/>
      <c r="W853" s="458"/>
    </row>
    <row r="854" spans="1:23" ht="15.75" customHeight="1">
      <c r="A854" s="458"/>
      <c r="B854" s="458"/>
      <c r="C854" s="458"/>
      <c r="D854" s="458"/>
      <c r="E854" s="458"/>
      <c r="F854" s="458"/>
      <c r="G854" s="458"/>
      <c r="H854" s="458"/>
      <c r="I854" s="458"/>
      <c r="J854" s="458"/>
      <c r="K854" s="458"/>
      <c r="L854" s="458"/>
      <c r="M854" s="458"/>
      <c r="N854" s="458"/>
      <c r="O854" s="458"/>
      <c r="P854" s="458"/>
      <c r="Q854" s="458"/>
      <c r="R854" s="458"/>
      <c r="S854" s="458"/>
      <c r="T854" s="458"/>
      <c r="U854" s="458"/>
      <c r="V854" s="458"/>
      <c r="W854" s="458"/>
    </row>
    <row r="855" spans="1:23" ht="15.75" customHeight="1">
      <c r="A855" s="458"/>
      <c r="B855" s="458"/>
      <c r="C855" s="458"/>
      <c r="D855" s="458"/>
      <c r="E855" s="458"/>
      <c r="F855" s="458"/>
      <c r="G855" s="458"/>
      <c r="H855" s="458"/>
      <c r="I855" s="458"/>
      <c r="J855" s="458"/>
      <c r="K855" s="458"/>
      <c r="L855" s="458"/>
      <c r="M855" s="458"/>
      <c r="N855" s="458"/>
      <c r="O855" s="458"/>
      <c r="P855" s="458"/>
      <c r="Q855" s="458"/>
      <c r="R855" s="458"/>
      <c r="S855" s="458"/>
      <c r="T855" s="458"/>
      <c r="U855" s="458"/>
      <c r="V855" s="458"/>
      <c r="W855" s="458"/>
    </row>
    <row r="856" spans="1:23" ht="15.75" customHeight="1">
      <c r="A856" s="458"/>
      <c r="B856" s="458"/>
      <c r="C856" s="458"/>
      <c r="D856" s="458"/>
      <c r="E856" s="458"/>
      <c r="F856" s="458"/>
      <c r="G856" s="458"/>
      <c r="H856" s="458"/>
      <c r="I856" s="458"/>
      <c r="J856" s="458"/>
      <c r="K856" s="458"/>
      <c r="L856" s="458"/>
      <c r="M856" s="458"/>
      <c r="N856" s="458"/>
      <c r="O856" s="458"/>
      <c r="P856" s="458"/>
      <c r="Q856" s="458"/>
      <c r="R856" s="458"/>
      <c r="S856" s="458"/>
      <c r="T856" s="458"/>
      <c r="U856" s="458"/>
      <c r="V856" s="458"/>
      <c r="W856" s="458"/>
    </row>
    <row r="857" spans="1:23" ht="15.75" customHeight="1">
      <c r="A857" s="458"/>
      <c r="B857" s="458"/>
      <c r="C857" s="458"/>
      <c r="D857" s="458"/>
      <c r="E857" s="458"/>
      <c r="F857" s="458"/>
      <c r="G857" s="458"/>
      <c r="H857" s="458"/>
      <c r="I857" s="458"/>
      <c r="J857" s="458"/>
      <c r="K857" s="458"/>
      <c r="L857" s="458"/>
      <c r="M857" s="458"/>
      <c r="N857" s="458"/>
      <c r="O857" s="458"/>
      <c r="P857" s="458"/>
      <c r="Q857" s="458"/>
      <c r="R857" s="458"/>
      <c r="S857" s="458"/>
      <c r="T857" s="458"/>
      <c r="U857" s="458"/>
      <c r="V857" s="458"/>
      <c r="W857" s="458"/>
    </row>
    <row r="858" spans="1:23" ht="15.75" customHeight="1">
      <c r="A858" s="458"/>
      <c r="B858" s="458"/>
      <c r="C858" s="458"/>
      <c r="D858" s="458"/>
      <c r="E858" s="458"/>
      <c r="F858" s="458"/>
      <c r="G858" s="458"/>
      <c r="H858" s="458"/>
      <c r="I858" s="458"/>
      <c r="J858" s="458"/>
      <c r="K858" s="458"/>
      <c r="L858" s="458"/>
      <c r="M858" s="458"/>
      <c r="N858" s="458"/>
      <c r="O858" s="458"/>
      <c r="P858" s="458"/>
      <c r="Q858" s="458"/>
      <c r="R858" s="458"/>
      <c r="S858" s="458"/>
      <c r="T858" s="458"/>
      <c r="U858" s="458"/>
      <c r="V858" s="458"/>
      <c r="W858" s="458"/>
    </row>
    <row r="859" spans="1:23" ht="15.75" customHeight="1">
      <c r="A859" s="458"/>
      <c r="B859" s="458"/>
      <c r="C859" s="458"/>
      <c r="D859" s="458"/>
      <c r="E859" s="458"/>
      <c r="F859" s="458"/>
      <c r="G859" s="458"/>
      <c r="H859" s="458"/>
      <c r="I859" s="458"/>
      <c r="J859" s="458"/>
      <c r="K859" s="458"/>
      <c r="L859" s="458"/>
      <c r="M859" s="458"/>
      <c r="N859" s="458"/>
      <c r="O859" s="458"/>
      <c r="P859" s="458"/>
      <c r="Q859" s="458"/>
      <c r="R859" s="458"/>
      <c r="S859" s="458"/>
      <c r="T859" s="458"/>
      <c r="U859" s="458"/>
      <c r="V859" s="458"/>
      <c r="W859" s="458"/>
    </row>
    <row r="860" spans="1:23" ht="15.75" customHeight="1">
      <c r="A860" s="458"/>
      <c r="B860" s="458"/>
      <c r="C860" s="458"/>
      <c r="D860" s="458"/>
      <c r="E860" s="458"/>
      <c r="F860" s="458"/>
      <c r="G860" s="458"/>
      <c r="H860" s="458"/>
      <c r="I860" s="458"/>
      <c r="J860" s="458"/>
      <c r="K860" s="458"/>
      <c r="L860" s="458"/>
      <c r="M860" s="458"/>
      <c r="N860" s="458"/>
      <c r="O860" s="458"/>
      <c r="P860" s="458"/>
      <c r="Q860" s="458"/>
      <c r="R860" s="458"/>
      <c r="S860" s="458"/>
      <c r="T860" s="458"/>
      <c r="U860" s="458"/>
      <c r="V860" s="458"/>
      <c r="W860" s="458"/>
    </row>
    <row r="861" spans="1:23" ht="15.75" customHeight="1">
      <c r="A861" s="458"/>
      <c r="B861" s="458"/>
      <c r="C861" s="458"/>
      <c r="D861" s="458"/>
      <c r="E861" s="458"/>
      <c r="F861" s="458"/>
      <c r="G861" s="458"/>
      <c r="H861" s="458"/>
      <c r="I861" s="458"/>
      <c r="J861" s="458"/>
      <c r="K861" s="458"/>
      <c r="L861" s="458"/>
      <c r="M861" s="458"/>
      <c r="N861" s="458"/>
      <c r="O861" s="458"/>
      <c r="P861" s="458"/>
      <c r="Q861" s="458"/>
      <c r="R861" s="458"/>
      <c r="S861" s="458"/>
      <c r="T861" s="458"/>
      <c r="U861" s="458"/>
      <c r="V861" s="458"/>
      <c r="W861" s="458"/>
    </row>
    <row r="862" spans="1:23" ht="15.75" customHeight="1">
      <c r="A862" s="458"/>
      <c r="B862" s="458"/>
      <c r="C862" s="458"/>
      <c r="D862" s="458"/>
      <c r="E862" s="458"/>
      <c r="F862" s="458"/>
      <c r="G862" s="458"/>
      <c r="H862" s="458"/>
      <c r="I862" s="458"/>
      <c r="J862" s="458"/>
      <c r="K862" s="458"/>
      <c r="L862" s="458"/>
      <c r="M862" s="458"/>
      <c r="N862" s="458"/>
      <c r="O862" s="458"/>
      <c r="P862" s="458"/>
      <c r="Q862" s="458"/>
      <c r="R862" s="458"/>
      <c r="S862" s="458"/>
      <c r="T862" s="458"/>
      <c r="U862" s="458"/>
      <c r="V862" s="458"/>
      <c r="W862" s="458"/>
    </row>
    <row r="863" spans="1:23" ht="15.75" customHeight="1">
      <c r="A863" s="458"/>
      <c r="B863" s="458"/>
      <c r="C863" s="458"/>
      <c r="D863" s="458"/>
      <c r="E863" s="458"/>
      <c r="F863" s="458"/>
      <c r="G863" s="458"/>
      <c r="H863" s="458"/>
      <c r="I863" s="458"/>
      <c r="J863" s="458"/>
      <c r="K863" s="458"/>
      <c r="L863" s="458"/>
      <c r="M863" s="458"/>
      <c r="N863" s="458"/>
      <c r="O863" s="458"/>
      <c r="P863" s="458"/>
      <c r="Q863" s="458"/>
      <c r="R863" s="458"/>
      <c r="S863" s="458"/>
      <c r="T863" s="458"/>
      <c r="U863" s="458"/>
      <c r="V863" s="458"/>
      <c r="W863" s="458"/>
    </row>
    <row r="864" spans="1:23" ht="15.75" customHeight="1">
      <c r="A864" s="458"/>
      <c r="B864" s="458"/>
      <c r="C864" s="458"/>
      <c r="D864" s="458"/>
      <c r="E864" s="458"/>
      <c r="F864" s="458"/>
      <c r="G864" s="458"/>
      <c r="H864" s="458"/>
      <c r="I864" s="458"/>
      <c r="J864" s="458"/>
      <c r="K864" s="458"/>
      <c r="L864" s="458"/>
      <c r="M864" s="458"/>
      <c r="N864" s="458"/>
      <c r="O864" s="458"/>
      <c r="P864" s="458"/>
      <c r="Q864" s="458"/>
      <c r="R864" s="458"/>
      <c r="S864" s="458"/>
      <c r="T864" s="458"/>
      <c r="U864" s="458"/>
      <c r="V864" s="458"/>
      <c r="W864" s="458"/>
    </row>
    <row r="865" spans="1:23" ht="15.75" customHeight="1">
      <c r="A865" s="458"/>
      <c r="B865" s="458"/>
      <c r="C865" s="458"/>
      <c r="D865" s="458"/>
      <c r="E865" s="458"/>
      <c r="F865" s="458"/>
      <c r="G865" s="458"/>
      <c r="H865" s="458"/>
      <c r="I865" s="458"/>
      <c r="J865" s="458"/>
      <c r="K865" s="458"/>
      <c r="L865" s="458"/>
      <c r="M865" s="458"/>
      <c r="N865" s="458"/>
      <c r="O865" s="458"/>
      <c r="P865" s="458"/>
      <c r="Q865" s="458"/>
      <c r="R865" s="458"/>
      <c r="S865" s="458"/>
      <c r="T865" s="458"/>
      <c r="U865" s="458"/>
      <c r="V865" s="458"/>
      <c r="W865" s="458"/>
    </row>
    <row r="866" spans="1:23" ht="15.75" customHeight="1">
      <c r="A866" s="458"/>
      <c r="B866" s="458"/>
      <c r="C866" s="458"/>
      <c r="D866" s="458"/>
      <c r="E866" s="458"/>
      <c r="F866" s="458"/>
      <c r="G866" s="458"/>
      <c r="H866" s="458"/>
      <c r="I866" s="458"/>
      <c r="J866" s="458"/>
      <c r="K866" s="458"/>
      <c r="L866" s="458"/>
      <c r="M866" s="458"/>
      <c r="N866" s="458"/>
      <c r="O866" s="458"/>
      <c r="P866" s="458"/>
      <c r="Q866" s="458"/>
      <c r="R866" s="458"/>
      <c r="S866" s="458"/>
      <c r="T866" s="458"/>
      <c r="U866" s="458"/>
      <c r="V866" s="458"/>
      <c r="W866" s="458"/>
    </row>
    <row r="867" spans="1:23" ht="15.75" customHeight="1">
      <c r="A867" s="458"/>
      <c r="B867" s="458"/>
      <c r="C867" s="458"/>
      <c r="D867" s="458"/>
      <c r="E867" s="458"/>
      <c r="F867" s="458"/>
      <c r="G867" s="458"/>
      <c r="H867" s="458"/>
      <c r="I867" s="458"/>
      <c r="J867" s="458"/>
      <c r="K867" s="458"/>
      <c r="L867" s="458"/>
      <c r="M867" s="458"/>
      <c r="N867" s="458"/>
      <c r="O867" s="458"/>
      <c r="P867" s="458"/>
      <c r="Q867" s="458"/>
      <c r="R867" s="458"/>
      <c r="S867" s="458"/>
      <c r="T867" s="458"/>
      <c r="U867" s="458"/>
      <c r="V867" s="458"/>
      <c r="W867" s="458"/>
    </row>
    <row r="868" spans="1:23" ht="15.75" customHeight="1">
      <c r="A868" s="458"/>
      <c r="B868" s="458"/>
      <c r="C868" s="458"/>
      <c r="D868" s="458"/>
      <c r="E868" s="458"/>
      <c r="F868" s="458"/>
      <c r="G868" s="458"/>
      <c r="H868" s="458"/>
      <c r="I868" s="458"/>
      <c r="J868" s="458"/>
      <c r="K868" s="458"/>
      <c r="L868" s="458"/>
      <c r="M868" s="458"/>
      <c r="N868" s="458"/>
      <c r="O868" s="458"/>
      <c r="P868" s="458"/>
      <c r="Q868" s="458"/>
      <c r="R868" s="458"/>
      <c r="S868" s="458"/>
      <c r="T868" s="458"/>
      <c r="U868" s="458"/>
      <c r="V868" s="458"/>
      <c r="W868" s="458"/>
    </row>
    <row r="869" spans="1:23" ht="15.75" customHeight="1">
      <c r="A869" s="458"/>
      <c r="B869" s="458"/>
      <c r="C869" s="458"/>
      <c r="D869" s="458"/>
      <c r="E869" s="458"/>
      <c r="F869" s="458"/>
      <c r="G869" s="458"/>
      <c r="H869" s="458"/>
      <c r="I869" s="458"/>
      <c r="J869" s="458"/>
      <c r="K869" s="458"/>
      <c r="L869" s="458"/>
      <c r="M869" s="458"/>
      <c r="N869" s="458"/>
      <c r="O869" s="458"/>
      <c r="P869" s="458"/>
      <c r="Q869" s="458"/>
      <c r="R869" s="458"/>
      <c r="S869" s="458"/>
      <c r="T869" s="458"/>
      <c r="U869" s="458"/>
      <c r="V869" s="458"/>
      <c r="W869" s="458"/>
    </row>
    <row r="870" spans="1:23" ht="15.75" customHeight="1">
      <c r="A870" s="458"/>
      <c r="B870" s="458"/>
      <c r="C870" s="458"/>
      <c r="D870" s="458"/>
      <c r="E870" s="458"/>
      <c r="F870" s="458"/>
      <c r="G870" s="458"/>
      <c r="H870" s="458"/>
      <c r="I870" s="458"/>
      <c r="J870" s="458"/>
      <c r="K870" s="458"/>
      <c r="L870" s="458"/>
      <c r="M870" s="458"/>
      <c r="N870" s="458"/>
      <c r="O870" s="458"/>
      <c r="P870" s="458"/>
      <c r="Q870" s="458"/>
      <c r="R870" s="458"/>
      <c r="S870" s="458"/>
      <c r="T870" s="458"/>
      <c r="U870" s="458"/>
      <c r="V870" s="458"/>
      <c r="W870" s="458"/>
    </row>
    <row r="871" spans="1:23" ht="15.75" customHeight="1">
      <c r="A871" s="458"/>
      <c r="B871" s="458"/>
      <c r="C871" s="458"/>
      <c r="D871" s="458"/>
      <c r="E871" s="458"/>
      <c r="F871" s="458"/>
      <c r="G871" s="458"/>
      <c r="H871" s="458"/>
      <c r="I871" s="458"/>
      <c r="J871" s="458"/>
      <c r="K871" s="458"/>
      <c r="L871" s="458"/>
      <c r="M871" s="458"/>
      <c r="N871" s="458"/>
      <c r="O871" s="458"/>
      <c r="P871" s="458"/>
      <c r="Q871" s="458"/>
      <c r="R871" s="458"/>
      <c r="S871" s="458"/>
      <c r="T871" s="458"/>
      <c r="U871" s="458"/>
      <c r="V871" s="458"/>
      <c r="W871" s="458"/>
    </row>
    <row r="872" spans="1:23" ht="15.75" customHeight="1">
      <c r="A872" s="458"/>
      <c r="B872" s="458"/>
      <c r="C872" s="458"/>
      <c r="D872" s="458"/>
      <c r="E872" s="458"/>
      <c r="F872" s="458"/>
      <c r="G872" s="458"/>
      <c r="H872" s="458"/>
      <c r="I872" s="458"/>
      <c r="J872" s="458"/>
      <c r="K872" s="458"/>
      <c r="L872" s="458"/>
      <c r="M872" s="458"/>
      <c r="N872" s="458"/>
      <c r="O872" s="458"/>
      <c r="P872" s="458"/>
      <c r="Q872" s="458"/>
      <c r="R872" s="458"/>
      <c r="S872" s="458"/>
      <c r="T872" s="458"/>
      <c r="U872" s="458"/>
      <c r="V872" s="458"/>
      <c r="W872" s="458"/>
    </row>
    <row r="873" spans="1:23" ht="15.75" customHeight="1">
      <c r="A873" s="458"/>
      <c r="B873" s="458"/>
      <c r="C873" s="458"/>
      <c r="D873" s="458"/>
      <c r="E873" s="458"/>
      <c r="F873" s="458"/>
      <c r="G873" s="458"/>
      <c r="H873" s="458"/>
      <c r="I873" s="458"/>
      <c r="J873" s="458"/>
      <c r="K873" s="458"/>
      <c r="L873" s="458"/>
      <c r="M873" s="458"/>
      <c r="N873" s="458"/>
      <c r="O873" s="458"/>
      <c r="P873" s="458"/>
      <c r="Q873" s="458"/>
      <c r="R873" s="458"/>
      <c r="S873" s="458"/>
      <c r="T873" s="458"/>
      <c r="U873" s="458"/>
      <c r="V873" s="458"/>
      <c r="W873" s="458"/>
    </row>
    <row r="874" spans="1:23" ht="15.75" customHeight="1">
      <c r="A874" s="458"/>
      <c r="B874" s="458"/>
      <c r="C874" s="458"/>
      <c r="D874" s="458"/>
      <c r="E874" s="458"/>
      <c r="F874" s="458"/>
      <c r="G874" s="458"/>
      <c r="H874" s="458"/>
      <c r="I874" s="458"/>
      <c r="J874" s="458"/>
      <c r="K874" s="458"/>
      <c r="L874" s="458"/>
      <c r="M874" s="458"/>
      <c r="N874" s="458"/>
      <c r="O874" s="458"/>
      <c r="P874" s="458"/>
      <c r="Q874" s="458"/>
      <c r="R874" s="458"/>
      <c r="S874" s="458"/>
      <c r="T874" s="458"/>
      <c r="U874" s="458"/>
      <c r="V874" s="458"/>
      <c r="W874" s="458"/>
    </row>
    <row r="875" spans="1:23" ht="15.75" customHeight="1">
      <c r="A875" s="458"/>
      <c r="B875" s="458"/>
      <c r="C875" s="458"/>
      <c r="D875" s="458"/>
      <c r="E875" s="458"/>
      <c r="F875" s="458"/>
      <c r="G875" s="458"/>
      <c r="H875" s="458"/>
      <c r="I875" s="458"/>
      <c r="J875" s="458"/>
      <c r="K875" s="458"/>
      <c r="L875" s="458"/>
      <c r="M875" s="458"/>
      <c r="N875" s="458"/>
      <c r="O875" s="458"/>
      <c r="P875" s="458"/>
      <c r="Q875" s="458"/>
      <c r="R875" s="458"/>
      <c r="S875" s="458"/>
      <c r="T875" s="458"/>
      <c r="U875" s="458"/>
      <c r="V875" s="458"/>
      <c r="W875" s="458"/>
    </row>
    <row r="876" spans="1:23" ht="15.75" customHeight="1">
      <c r="A876" s="458"/>
      <c r="B876" s="458"/>
      <c r="C876" s="458"/>
      <c r="D876" s="458"/>
      <c r="E876" s="458"/>
      <c r="F876" s="458"/>
      <c r="G876" s="458"/>
      <c r="H876" s="458"/>
      <c r="I876" s="458"/>
      <c r="J876" s="458"/>
      <c r="K876" s="458"/>
      <c r="L876" s="458"/>
      <c r="M876" s="458"/>
      <c r="N876" s="458"/>
      <c r="O876" s="458"/>
      <c r="P876" s="458"/>
      <c r="Q876" s="458"/>
      <c r="R876" s="458"/>
      <c r="S876" s="458"/>
      <c r="T876" s="458"/>
      <c r="U876" s="458"/>
      <c r="V876" s="458"/>
      <c r="W876" s="458"/>
    </row>
    <row r="877" spans="1:23" ht="15.75" customHeight="1">
      <c r="A877" s="458"/>
      <c r="B877" s="458"/>
      <c r="C877" s="458"/>
      <c r="D877" s="458"/>
      <c r="E877" s="458"/>
      <c r="F877" s="458"/>
      <c r="G877" s="458"/>
      <c r="H877" s="458"/>
      <c r="I877" s="458"/>
      <c r="J877" s="458"/>
      <c r="K877" s="458"/>
      <c r="L877" s="458"/>
      <c r="M877" s="458"/>
      <c r="N877" s="458"/>
      <c r="O877" s="458"/>
      <c r="P877" s="458"/>
      <c r="Q877" s="458"/>
      <c r="R877" s="458"/>
      <c r="S877" s="458"/>
      <c r="T877" s="458"/>
      <c r="U877" s="458"/>
      <c r="V877" s="458"/>
      <c r="W877" s="458"/>
    </row>
    <row r="878" spans="1:23" ht="15.75" customHeight="1">
      <c r="A878" s="458"/>
      <c r="B878" s="458"/>
      <c r="C878" s="458"/>
      <c r="D878" s="458"/>
      <c r="E878" s="458"/>
      <c r="F878" s="458"/>
      <c r="G878" s="458"/>
      <c r="H878" s="458"/>
      <c r="I878" s="458"/>
      <c r="J878" s="458"/>
      <c r="K878" s="458"/>
      <c r="L878" s="458"/>
      <c r="M878" s="458"/>
      <c r="N878" s="458"/>
      <c r="O878" s="458"/>
      <c r="P878" s="458"/>
      <c r="Q878" s="458"/>
      <c r="R878" s="458"/>
      <c r="S878" s="458"/>
      <c r="T878" s="458"/>
      <c r="U878" s="458"/>
      <c r="V878" s="458"/>
      <c r="W878" s="458"/>
    </row>
    <row r="879" spans="1:23" ht="15.75" customHeight="1">
      <c r="A879" s="458"/>
      <c r="B879" s="458"/>
      <c r="C879" s="458"/>
      <c r="D879" s="458"/>
      <c r="E879" s="458"/>
      <c r="F879" s="458"/>
      <c r="G879" s="458"/>
      <c r="H879" s="458"/>
      <c r="I879" s="458"/>
      <c r="J879" s="458"/>
      <c r="K879" s="458"/>
      <c r="L879" s="458"/>
      <c r="M879" s="458"/>
      <c r="N879" s="458"/>
      <c r="O879" s="458"/>
      <c r="P879" s="458"/>
      <c r="Q879" s="458"/>
      <c r="R879" s="458"/>
      <c r="S879" s="458"/>
      <c r="T879" s="458"/>
      <c r="U879" s="458"/>
      <c r="V879" s="458"/>
      <c r="W879" s="458"/>
    </row>
    <row r="880" spans="1:23" ht="15.75" customHeight="1">
      <c r="A880" s="458"/>
      <c r="B880" s="458"/>
      <c r="C880" s="458"/>
      <c r="D880" s="458"/>
      <c r="E880" s="458"/>
      <c r="F880" s="458"/>
      <c r="G880" s="458"/>
      <c r="H880" s="458"/>
      <c r="I880" s="458"/>
      <c r="J880" s="458"/>
      <c r="K880" s="458"/>
      <c r="L880" s="458"/>
      <c r="M880" s="458"/>
      <c r="N880" s="458"/>
      <c r="O880" s="458"/>
      <c r="P880" s="458"/>
      <c r="Q880" s="458"/>
      <c r="R880" s="458"/>
      <c r="S880" s="458"/>
      <c r="T880" s="458"/>
      <c r="U880" s="458"/>
      <c r="V880" s="458"/>
      <c r="W880" s="458"/>
    </row>
    <row r="881" spans="1:23" ht="15.75" customHeight="1">
      <c r="A881" s="458"/>
      <c r="B881" s="458"/>
      <c r="C881" s="458"/>
      <c r="D881" s="458"/>
      <c r="E881" s="458"/>
      <c r="F881" s="458"/>
      <c r="G881" s="458"/>
      <c r="H881" s="458"/>
      <c r="I881" s="458"/>
      <c r="J881" s="458"/>
      <c r="K881" s="458"/>
      <c r="L881" s="458"/>
      <c r="M881" s="458"/>
      <c r="N881" s="458"/>
      <c r="O881" s="458"/>
      <c r="P881" s="458"/>
      <c r="Q881" s="458"/>
      <c r="R881" s="458"/>
      <c r="S881" s="458"/>
      <c r="T881" s="458"/>
      <c r="U881" s="458"/>
      <c r="V881" s="458"/>
      <c r="W881" s="458"/>
    </row>
    <row r="882" spans="1:23" ht="15.75" customHeight="1">
      <c r="A882" s="458"/>
      <c r="B882" s="458"/>
      <c r="C882" s="458"/>
      <c r="D882" s="458"/>
      <c r="E882" s="458"/>
      <c r="F882" s="458"/>
      <c r="G882" s="458"/>
      <c r="H882" s="458"/>
      <c r="I882" s="458"/>
      <c r="J882" s="458"/>
      <c r="K882" s="458"/>
      <c r="L882" s="458"/>
      <c r="M882" s="458"/>
      <c r="N882" s="458"/>
      <c r="O882" s="458"/>
      <c r="P882" s="458"/>
      <c r="Q882" s="458"/>
      <c r="R882" s="458"/>
      <c r="S882" s="458"/>
      <c r="T882" s="458"/>
      <c r="U882" s="458"/>
      <c r="V882" s="458"/>
      <c r="W882" s="458"/>
    </row>
    <row r="883" spans="1:23" ht="15.75" customHeight="1">
      <c r="A883" s="458"/>
      <c r="B883" s="458"/>
      <c r="C883" s="458"/>
      <c r="D883" s="458"/>
      <c r="E883" s="458"/>
      <c r="F883" s="458"/>
      <c r="G883" s="458"/>
      <c r="H883" s="458"/>
      <c r="I883" s="458"/>
      <c r="J883" s="458"/>
      <c r="K883" s="458"/>
      <c r="L883" s="458"/>
      <c r="M883" s="458"/>
      <c r="N883" s="458"/>
      <c r="O883" s="458"/>
      <c r="P883" s="458"/>
      <c r="Q883" s="458"/>
      <c r="R883" s="458"/>
      <c r="S883" s="458"/>
      <c r="T883" s="458"/>
      <c r="U883" s="458"/>
      <c r="V883" s="458"/>
      <c r="W883" s="458"/>
    </row>
    <row r="884" spans="1:23" ht="15.75" customHeight="1">
      <c r="A884" s="458"/>
      <c r="B884" s="458"/>
      <c r="C884" s="458"/>
      <c r="D884" s="458"/>
      <c r="E884" s="458"/>
      <c r="F884" s="458"/>
      <c r="G884" s="458"/>
      <c r="H884" s="458"/>
      <c r="I884" s="458"/>
      <c r="J884" s="458"/>
      <c r="K884" s="458"/>
      <c r="L884" s="458"/>
      <c r="M884" s="458"/>
      <c r="N884" s="458"/>
      <c r="O884" s="458"/>
      <c r="P884" s="458"/>
      <c r="Q884" s="458"/>
      <c r="R884" s="458"/>
      <c r="S884" s="458"/>
      <c r="T884" s="458"/>
      <c r="U884" s="458"/>
      <c r="V884" s="458"/>
      <c r="W884" s="458"/>
    </row>
    <row r="885" spans="1:23" ht="15.75" customHeight="1">
      <c r="A885" s="458"/>
      <c r="B885" s="458"/>
      <c r="C885" s="458"/>
      <c r="D885" s="458"/>
      <c r="E885" s="458"/>
      <c r="F885" s="458"/>
      <c r="G885" s="458"/>
      <c r="H885" s="458"/>
      <c r="I885" s="458"/>
      <c r="J885" s="458"/>
      <c r="K885" s="458"/>
      <c r="L885" s="458"/>
      <c r="M885" s="458"/>
      <c r="N885" s="458"/>
      <c r="O885" s="458"/>
      <c r="P885" s="458"/>
      <c r="Q885" s="458"/>
      <c r="R885" s="458"/>
      <c r="S885" s="458"/>
      <c r="T885" s="458"/>
      <c r="U885" s="458"/>
      <c r="V885" s="458"/>
      <c r="W885" s="458"/>
    </row>
    <row r="886" spans="1:23" ht="15.75" customHeight="1">
      <c r="A886" s="458"/>
      <c r="B886" s="458"/>
      <c r="C886" s="458"/>
      <c r="D886" s="458"/>
      <c r="E886" s="458"/>
      <c r="F886" s="458"/>
      <c r="G886" s="458"/>
      <c r="H886" s="458"/>
      <c r="I886" s="458"/>
      <c r="J886" s="458"/>
      <c r="K886" s="458"/>
      <c r="L886" s="458"/>
      <c r="M886" s="458"/>
      <c r="N886" s="458"/>
      <c r="O886" s="458"/>
      <c r="P886" s="458"/>
      <c r="Q886" s="458"/>
      <c r="R886" s="458"/>
      <c r="S886" s="458"/>
      <c r="T886" s="458"/>
      <c r="U886" s="458"/>
      <c r="V886" s="458"/>
      <c r="W886" s="458"/>
    </row>
    <row r="887" spans="1:23" ht="15.75" customHeight="1">
      <c r="A887" s="458"/>
      <c r="B887" s="458"/>
      <c r="C887" s="458"/>
      <c r="D887" s="458"/>
      <c r="E887" s="458"/>
      <c r="F887" s="458"/>
      <c r="G887" s="458"/>
      <c r="H887" s="458"/>
      <c r="I887" s="458"/>
      <c r="J887" s="458"/>
      <c r="K887" s="458"/>
      <c r="L887" s="458"/>
      <c r="M887" s="458"/>
      <c r="N887" s="458"/>
      <c r="O887" s="458"/>
      <c r="P887" s="458"/>
      <c r="Q887" s="458"/>
      <c r="R887" s="458"/>
      <c r="S887" s="458"/>
      <c r="T887" s="458"/>
      <c r="U887" s="458"/>
      <c r="V887" s="458"/>
      <c r="W887" s="458"/>
    </row>
    <row r="888" spans="1:23" ht="15.75" customHeight="1">
      <c r="A888" s="458"/>
      <c r="B888" s="458"/>
      <c r="C888" s="458"/>
      <c r="D888" s="458"/>
      <c r="E888" s="458"/>
      <c r="F888" s="458"/>
      <c r="G888" s="458"/>
      <c r="H888" s="458"/>
      <c r="I888" s="458"/>
      <c r="J888" s="458"/>
      <c r="K888" s="458"/>
      <c r="L888" s="458"/>
      <c r="M888" s="458"/>
      <c r="N888" s="458"/>
      <c r="O888" s="458"/>
      <c r="P888" s="458"/>
      <c r="Q888" s="458"/>
      <c r="R888" s="458"/>
      <c r="S888" s="458"/>
      <c r="T888" s="458"/>
      <c r="U888" s="458"/>
      <c r="V888" s="458"/>
      <c r="W888" s="458"/>
    </row>
    <row r="889" spans="1:23" ht="15.75" customHeight="1">
      <c r="A889" s="458"/>
      <c r="B889" s="458"/>
      <c r="C889" s="458"/>
      <c r="D889" s="458"/>
      <c r="E889" s="458"/>
      <c r="F889" s="458"/>
      <c r="G889" s="458"/>
      <c r="H889" s="458"/>
      <c r="I889" s="458"/>
      <c r="J889" s="458"/>
      <c r="K889" s="458"/>
      <c r="L889" s="458"/>
      <c r="M889" s="458"/>
      <c r="N889" s="458"/>
      <c r="O889" s="458"/>
      <c r="P889" s="458"/>
      <c r="Q889" s="458"/>
      <c r="R889" s="458"/>
      <c r="S889" s="458"/>
      <c r="T889" s="458"/>
      <c r="U889" s="458"/>
      <c r="V889" s="458"/>
      <c r="W889" s="458"/>
    </row>
    <row r="890" spans="1:23" ht="15.75" customHeight="1">
      <c r="A890" s="458"/>
      <c r="B890" s="458"/>
      <c r="C890" s="458"/>
      <c r="D890" s="458"/>
      <c r="E890" s="458"/>
      <c r="F890" s="458"/>
      <c r="G890" s="458"/>
      <c r="H890" s="458"/>
      <c r="I890" s="458"/>
      <c r="J890" s="458"/>
      <c r="K890" s="458"/>
      <c r="L890" s="458"/>
      <c r="M890" s="458"/>
      <c r="N890" s="458"/>
      <c r="O890" s="458"/>
      <c r="P890" s="458"/>
      <c r="Q890" s="458"/>
      <c r="R890" s="458"/>
      <c r="S890" s="458"/>
      <c r="T890" s="458"/>
      <c r="U890" s="458"/>
      <c r="V890" s="458"/>
      <c r="W890" s="458"/>
    </row>
    <row r="891" spans="1:23" ht="15.75" customHeight="1">
      <c r="A891" s="458"/>
      <c r="B891" s="458"/>
      <c r="C891" s="458"/>
      <c r="D891" s="458"/>
      <c r="E891" s="458"/>
      <c r="F891" s="458"/>
      <c r="G891" s="458"/>
      <c r="H891" s="458"/>
      <c r="I891" s="458"/>
      <c r="J891" s="458"/>
      <c r="K891" s="458"/>
      <c r="L891" s="458"/>
      <c r="M891" s="458"/>
      <c r="N891" s="458"/>
      <c r="O891" s="458"/>
      <c r="P891" s="458"/>
      <c r="Q891" s="458"/>
      <c r="R891" s="458"/>
      <c r="S891" s="458"/>
      <c r="T891" s="458"/>
      <c r="U891" s="458"/>
      <c r="V891" s="458"/>
      <c r="W891" s="458"/>
    </row>
    <row r="892" spans="1:23" ht="15.75" customHeight="1">
      <c r="A892" s="458"/>
      <c r="B892" s="458"/>
      <c r="C892" s="458"/>
      <c r="D892" s="458"/>
      <c r="E892" s="458"/>
      <c r="F892" s="458"/>
      <c r="G892" s="458"/>
      <c r="H892" s="458"/>
      <c r="I892" s="458"/>
      <c r="J892" s="458"/>
      <c r="K892" s="458"/>
      <c r="L892" s="458"/>
      <c r="M892" s="458"/>
      <c r="N892" s="458"/>
      <c r="O892" s="458"/>
      <c r="P892" s="458"/>
      <c r="Q892" s="458"/>
      <c r="R892" s="458"/>
      <c r="S892" s="458"/>
      <c r="T892" s="458"/>
      <c r="U892" s="458"/>
      <c r="V892" s="458"/>
      <c r="W892" s="458"/>
    </row>
    <row r="893" spans="1:23" ht="15.75" customHeight="1">
      <c r="A893" s="458"/>
      <c r="B893" s="458"/>
      <c r="C893" s="458"/>
      <c r="D893" s="458"/>
      <c r="E893" s="458"/>
      <c r="F893" s="458"/>
      <c r="G893" s="458"/>
      <c r="H893" s="458"/>
      <c r="I893" s="458"/>
      <c r="J893" s="458"/>
      <c r="K893" s="458"/>
      <c r="L893" s="458"/>
      <c r="M893" s="458"/>
      <c r="N893" s="458"/>
      <c r="O893" s="458"/>
      <c r="P893" s="458"/>
      <c r="Q893" s="458"/>
      <c r="R893" s="458"/>
      <c r="S893" s="458"/>
      <c r="T893" s="458"/>
      <c r="U893" s="458"/>
      <c r="V893" s="458"/>
      <c r="W893" s="458"/>
    </row>
    <row r="894" spans="1:23" ht="15.75" customHeight="1">
      <c r="A894" s="458"/>
      <c r="B894" s="458"/>
      <c r="C894" s="458"/>
      <c r="D894" s="458"/>
      <c r="E894" s="458"/>
      <c r="F894" s="458"/>
      <c r="G894" s="458"/>
      <c r="H894" s="458"/>
      <c r="I894" s="458"/>
      <c r="J894" s="458"/>
      <c r="K894" s="458"/>
      <c r="L894" s="458"/>
      <c r="M894" s="458"/>
      <c r="N894" s="458"/>
      <c r="O894" s="458"/>
      <c r="P894" s="458"/>
      <c r="Q894" s="458"/>
      <c r="R894" s="458"/>
      <c r="S894" s="458"/>
      <c r="T894" s="458"/>
      <c r="U894" s="458"/>
      <c r="V894" s="458"/>
      <c r="W894" s="458"/>
    </row>
    <row r="895" spans="1:23" ht="15.75" customHeight="1">
      <c r="A895" s="458"/>
      <c r="B895" s="458"/>
      <c r="C895" s="458"/>
      <c r="D895" s="458"/>
      <c r="E895" s="458"/>
      <c r="F895" s="458"/>
      <c r="G895" s="458"/>
      <c r="H895" s="458"/>
      <c r="I895" s="458"/>
      <c r="J895" s="458"/>
      <c r="K895" s="458"/>
      <c r="L895" s="458"/>
      <c r="M895" s="458"/>
      <c r="N895" s="458"/>
      <c r="O895" s="458"/>
      <c r="P895" s="458"/>
      <c r="Q895" s="458"/>
      <c r="R895" s="458"/>
      <c r="S895" s="458"/>
      <c r="T895" s="458"/>
      <c r="U895" s="458"/>
      <c r="V895" s="458"/>
      <c r="W895" s="458"/>
    </row>
    <row r="896" spans="1:23" ht="15.75" customHeight="1">
      <c r="A896" s="458"/>
      <c r="B896" s="458"/>
      <c r="C896" s="458"/>
      <c r="D896" s="458"/>
      <c r="E896" s="458"/>
      <c r="F896" s="458"/>
      <c r="G896" s="458"/>
      <c r="H896" s="458"/>
      <c r="I896" s="458"/>
      <c r="J896" s="458"/>
      <c r="K896" s="458"/>
      <c r="L896" s="458"/>
      <c r="M896" s="458"/>
      <c r="N896" s="458"/>
      <c r="O896" s="458"/>
      <c r="P896" s="458"/>
      <c r="Q896" s="458"/>
      <c r="R896" s="458"/>
      <c r="S896" s="458"/>
      <c r="T896" s="458"/>
      <c r="U896" s="458"/>
      <c r="V896" s="458"/>
      <c r="W896" s="458"/>
    </row>
    <row r="897" spans="1:23" ht="15.75" customHeight="1">
      <c r="A897" s="458"/>
      <c r="B897" s="458"/>
      <c r="C897" s="458"/>
      <c r="D897" s="458"/>
      <c r="E897" s="458"/>
      <c r="F897" s="458"/>
      <c r="G897" s="458"/>
      <c r="H897" s="458"/>
      <c r="I897" s="458"/>
      <c r="J897" s="458"/>
      <c r="K897" s="458"/>
      <c r="L897" s="458"/>
      <c r="M897" s="458"/>
      <c r="N897" s="458"/>
      <c r="O897" s="458"/>
      <c r="P897" s="458"/>
      <c r="Q897" s="458"/>
      <c r="R897" s="458"/>
      <c r="S897" s="458"/>
      <c r="T897" s="458"/>
      <c r="U897" s="458"/>
      <c r="V897" s="458"/>
      <c r="W897" s="458"/>
    </row>
    <row r="898" spans="1:23" ht="15.75" customHeight="1">
      <c r="A898" s="458"/>
      <c r="B898" s="458"/>
      <c r="C898" s="458"/>
      <c r="D898" s="458"/>
      <c r="E898" s="458"/>
      <c r="F898" s="458"/>
      <c r="G898" s="458"/>
      <c r="H898" s="458"/>
      <c r="I898" s="458"/>
      <c r="J898" s="458"/>
      <c r="K898" s="458"/>
      <c r="L898" s="458"/>
      <c r="M898" s="458"/>
      <c r="N898" s="458"/>
      <c r="O898" s="458"/>
      <c r="P898" s="458"/>
      <c r="Q898" s="458"/>
      <c r="R898" s="458"/>
      <c r="S898" s="458"/>
      <c r="T898" s="458"/>
      <c r="U898" s="458"/>
      <c r="V898" s="458"/>
      <c r="W898" s="458"/>
    </row>
    <row r="899" spans="1:23" ht="15.75" customHeight="1">
      <c r="A899" s="458"/>
      <c r="B899" s="458"/>
      <c r="C899" s="458"/>
      <c r="D899" s="458"/>
      <c r="E899" s="458"/>
      <c r="F899" s="458"/>
      <c r="G899" s="458"/>
      <c r="H899" s="458"/>
      <c r="I899" s="458"/>
      <c r="J899" s="458"/>
      <c r="K899" s="458"/>
      <c r="L899" s="458"/>
      <c r="M899" s="458"/>
      <c r="N899" s="458"/>
      <c r="O899" s="458"/>
      <c r="P899" s="458"/>
      <c r="Q899" s="458"/>
      <c r="R899" s="458"/>
      <c r="S899" s="458"/>
      <c r="T899" s="458"/>
      <c r="U899" s="458"/>
      <c r="V899" s="458"/>
      <c r="W899" s="458"/>
    </row>
    <row r="900" spans="1:23" ht="15.75" customHeight="1">
      <c r="A900" s="458"/>
      <c r="B900" s="458"/>
      <c r="C900" s="458"/>
      <c r="D900" s="458"/>
      <c r="E900" s="458"/>
      <c r="F900" s="458"/>
      <c r="G900" s="458"/>
      <c r="H900" s="458"/>
      <c r="I900" s="458"/>
      <c r="J900" s="458"/>
      <c r="K900" s="458"/>
      <c r="L900" s="458"/>
      <c r="M900" s="458"/>
      <c r="N900" s="458"/>
      <c r="O900" s="458"/>
      <c r="P900" s="458"/>
      <c r="Q900" s="458"/>
      <c r="R900" s="458"/>
      <c r="S900" s="458"/>
      <c r="T900" s="458"/>
      <c r="U900" s="458"/>
      <c r="V900" s="458"/>
      <c r="W900" s="458"/>
    </row>
    <row r="901" spans="1:23" ht="15.75" customHeight="1">
      <c r="A901" s="458"/>
      <c r="B901" s="458"/>
      <c r="C901" s="458"/>
      <c r="D901" s="458"/>
      <c r="E901" s="458"/>
      <c r="F901" s="458"/>
      <c r="G901" s="458"/>
      <c r="H901" s="458"/>
      <c r="I901" s="458"/>
      <c r="J901" s="458"/>
      <c r="K901" s="458"/>
      <c r="L901" s="458"/>
      <c r="M901" s="458"/>
      <c r="N901" s="458"/>
      <c r="O901" s="458"/>
      <c r="P901" s="458"/>
      <c r="Q901" s="458"/>
      <c r="R901" s="458"/>
      <c r="S901" s="458"/>
      <c r="T901" s="458"/>
      <c r="U901" s="458"/>
      <c r="V901" s="458"/>
      <c r="W901" s="458"/>
    </row>
    <row r="902" spans="1:23" ht="15.75" customHeight="1">
      <c r="A902" s="458"/>
      <c r="B902" s="458"/>
      <c r="C902" s="458"/>
      <c r="D902" s="458"/>
      <c r="E902" s="458"/>
      <c r="F902" s="458"/>
      <c r="G902" s="458"/>
      <c r="H902" s="458"/>
      <c r="I902" s="458"/>
      <c r="J902" s="458"/>
      <c r="K902" s="458"/>
      <c r="L902" s="458"/>
      <c r="M902" s="458"/>
      <c r="N902" s="458"/>
      <c r="O902" s="458"/>
      <c r="P902" s="458"/>
      <c r="Q902" s="458"/>
      <c r="R902" s="458"/>
      <c r="S902" s="458"/>
      <c r="T902" s="458"/>
      <c r="U902" s="458"/>
      <c r="V902" s="458"/>
      <c r="W902" s="458"/>
    </row>
    <row r="903" spans="1:23" ht="15.75" customHeight="1">
      <c r="A903" s="458"/>
      <c r="B903" s="458"/>
      <c r="C903" s="458"/>
      <c r="D903" s="458"/>
      <c r="E903" s="458"/>
      <c r="F903" s="458"/>
      <c r="G903" s="458"/>
      <c r="H903" s="458"/>
      <c r="I903" s="458"/>
      <c r="J903" s="458"/>
      <c r="K903" s="458"/>
      <c r="L903" s="458"/>
      <c r="M903" s="458"/>
      <c r="N903" s="458"/>
      <c r="O903" s="458"/>
      <c r="P903" s="458"/>
      <c r="Q903" s="458"/>
      <c r="R903" s="458"/>
      <c r="S903" s="458"/>
      <c r="T903" s="458"/>
      <c r="U903" s="458"/>
      <c r="V903" s="458"/>
      <c r="W903" s="458"/>
    </row>
    <row r="904" spans="1:23" ht="15.75" customHeight="1">
      <c r="A904" s="458"/>
      <c r="B904" s="458"/>
      <c r="C904" s="458"/>
      <c r="D904" s="458"/>
      <c r="E904" s="458"/>
      <c r="F904" s="458"/>
      <c r="G904" s="458"/>
      <c r="H904" s="458"/>
      <c r="I904" s="458"/>
      <c r="J904" s="458"/>
      <c r="K904" s="458"/>
      <c r="L904" s="458"/>
      <c r="M904" s="458"/>
      <c r="N904" s="458"/>
      <c r="O904" s="458"/>
      <c r="P904" s="458"/>
      <c r="Q904" s="458"/>
      <c r="R904" s="458"/>
      <c r="S904" s="458"/>
      <c r="T904" s="458"/>
      <c r="U904" s="458"/>
      <c r="V904" s="458"/>
      <c r="W904" s="458"/>
    </row>
    <row r="905" spans="1:23" ht="15.75" customHeight="1">
      <c r="A905" s="458"/>
      <c r="B905" s="458"/>
      <c r="C905" s="458"/>
      <c r="D905" s="458"/>
      <c r="E905" s="458"/>
      <c r="F905" s="458"/>
      <c r="G905" s="458"/>
      <c r="H905" s="458"/>
      <c r="I905" s="458"/>
      <c r="J905" s="458"/>
      <c r="K905" s="458"/>
      <c r="L905" s="458"/>
      <c r="M905" s="458"/>
      <c r="N905" s="458"/>
      <c r="O905" s="458"/>
      <c r="P905" s="458"/>
      <c r="Q905" s="458"/>
      <c r="R905" s="458"/>
      <c r="S905" s="458"/>
      <c r="T905" s="458"/>
      <c r="U905" s="458"/>
      <c r="V905" s="458"/>
      <c r="W905" s="458"/>
    </row>
    <row r="906" spans="1:23" ht="15.75" customHeight="1">
      <c r="A906" s="458"/>
      <c r="B906" s="458"/>
      <c r="C906" s="458"/>
      <c r="D906" s="458"/>
      <c r="E906" s="458"/>
      <c r="F906" s="458"/>
      <c r="G906" s="458"/>
      <c r="H906" s="458"/>
      <c r="I906" s="458"/>
      <c r="J906" s="458"/>
      <c r="K906" s="458"/>
      <c r="L906" s="458"/>
      <c r="M906" s="458"/>
      <c r="N906" s="458"/>
      <c r="O906" s="458"/>
      <c r="P906" s="458"/>
      <c r="Q906" s="458"/>
      <c r="R906" s="458"/>
      <c r="S906" s="458"/>
      <c r="T906" s="458"/>
      <c r="U906" s="458"/>
      <c r="V906" s="458"/>
      <c r="W906" s="458"/>
    </row>
    <row r="907" spans="1:23" ht="15.75" customHeight="1">
      <c r="A907" s="458"/>
      <c r="B907" s="458"/>
      <c r="C907" s="458"/>
      <c r="D907" s="458"/>
      <c r="E907" s="458"/>
      <c r="F907" s="458"/>
      <c r="G907" s="458"/>
      <c r="H907" s="458"/>
      <c r="I907" s="458"/>
      <c r="J907" s="458"/>
      <c r="K907" s="458"/>
      <c r="L907" s="458"/>
      <c r="M907" s="458"/>
      <c r="N907" s="458"/>
      <c r="O907" s="458"/>
      <c r="P907" s="458"/>
      <c r="Q907" s="458"/>
      <c r="R907" s="458"/>
      <c r="S907" s="458"/>
      <c r="T907" s="458"/>
      <c r="U907" s="458"/>
      <c r="V907" s="458"/>
      <c r="W907" s="458"/>
    </row>
    <row r="908" spans="1:23" ht="15.75" customHeight="1">
      <c r="A908" s="458"/>
      <c r="B908" s="458"/>
      <c r="C908" s="458"/>
      <c r="D908" s="458"/>
      <c r="E908" s="458"/>
      <c r="F908" s="458"/>
      <c r="G908" s="458"/>
      <c r="H908" s="458"/>
      <c r="I908" s="458"/>
      <c r="J908" s="458"/>
      <c r="K908" s="458"/>
      <c r="L908" s="458"/>
      <c r="M908" s="458"/>
      <c r="N908" s="458"/>
      <c r="O908" s="458"/>
      <c r="P908" s="458"/>
      <c r="Q908" s="458"/>
      <c r="R908" s="458"/>
      <c r="S908" s="458"/>
      <c r="T908" s="458"/>
      <c r="U908" s="458"/>
      <c r="V908" s="458"/>
      <c r="W908" s="458"/>
    </row>
    <row r="909" spans="1:23" ht="15.75" customHeight="1">
      <c r="A909" s="458"/>
      <c r="B909" s="458"/>
      <c r="C909" s="458"/>
      <c r="D909" s="458"/>
      <c r="E909" s="458"/>
      <c r="F909" s="458"/>
      <c r="G909" s="458"/>
      <c r="H909" s="458"/>
      <c r="I909" s="458"/>
      <c r="J909" s="458"/>
      <c r="K909" s="458"/>
      <c r="L909" s="458"/>
      <c r="M909" s="458"/>
      <c r="N909" s="458"/>
      <c r="O909" s="458"/>
      <c r="P909" s="458"/>
      <c r="Q909" s="458"/>
      <c r="R909" s="458"/>
      <c r="S909" s="458"/>
      <c r="T909" s="458"/>
      <c r="U909" s="458"/>
      <c r="V909" s="458"/>
      <c r="W909" s="458"/>
    </row>
    <row r="910" spans="1:23" ht="15.75" customHeight="1">
      <c r="A910" s="458"/>
      <c r="B910" s="458"/>
      <c r="C910" s="458"/>
      <c r="D910" s="458"/>
      <c r="E910" s="458"/>
      <c r="F910" s="458"/>
      <c r="G910" s="458"/>
      <c r="H910" s="458"/>
      <c r="I910" s="458"/>
      <c r="J910" s="458"/>
      <c r="K910" s="458"/>
      <c r="L910" s="458"/>
      <c r="M910" s="458"/>
      <c r="N910" s="458"/>
      <c r="O910" s="458"/>
      <c r="P910" s="458"/>
      <c r="Q910" s="458"/>
      <c r="R910" s="458"/>
      <c r="S910" s="458"/>
      <c r="T910" s="458"/>
      <c r="U910" s="458"/>
      <c r="V910" s="458"/>
      <c r="W910" s="458"/>
    </row>
    <row r="911" spans="1:23" ht="15.75" customHeight="1">
      <c r="A911" s="458"/>
      <c r="B911" s="458"/>
      <c r="C911" s="458"/>
      <c r="D911" s="458"/>
      <c r="E911" s="458"/>
      <c r="F911" s="458"/>
      <c r="G911" s="458"/>
      <c r="H911" s="458"/>
      <c r="I911" s="458"/>
      <c r="J911" s="458"/>
      <c r="K911" s="458"/>
      <c r="L911" s="458"/>
      <c r="M911" s="458"/>
      <c r="N911" s="458"/>
      <c r="O911" s="458"/>
      <c r="P911" s="458"/>
      <c r="Q911" s="458"/>
      <c r="R911" s="458"/>
      <c r="S911" s="458"/>
      <c r="T911" s="458"/>
      <c r="U911" s="458"/>
      <c r="V911" s="458"/>
      <c r="W911" s="458"/>
    </row>
    <row r="912" spans="1:23" ht="15.75" customHeight="1">
      <c r="A912" s="458"/>
      <c r="B912" s="458"/>
      <c r="C912" s="458"/>
      <c r="D912" s="458"/>
      <c r="E912" s="458"/>
      <c r="F912" s="458"/>
      <c r="G912" s="458"/>
      <c r="H912" s="458"/>
      <c r="I912" s="458"/>
      <c r="J912" s="458"/>
      <c r="K912" s="458"/>
      <c r="L912" s="458"/>
      <c r="M912" s="458"/>
      <c r="N912" s="458"/>
      <c r="O912" s="458"/>
      <c r="P912" s="458"/>
      <c r="Q912" s="458"/>
      <c r="R912" s="458"/>
      <c r="S912" s="458"/>
      <c r="T912" s="458"/>
      <c r="U912" s="458"/>
      <c r="V912" s="458"/>
      <c r="W912" s="458"/>
    </row>
    <row r="913" spans="1:23" ht="15.75" customHeight="1">
      <c r="A913" s="458"/>
      <c r="B913" s="458"/>
      <c r="C913" s="458"/>
      <c r="D913" s="458"/>
      <c r="E913" s="458"/>
      <c r="F913" s="458"/>
      <c r="G913" s="458"/>
      <c r="H913" s="458"/>
      <c r="I913" s="458"/>
      <c r="J913" s="458"/>
      <c r="K913" s="458"/>
      <c r="L913" s="458"/>
      <c r="M913" s="458"/>
      <c r="N913" s="458"/>
      <c r="O913" s="458"/>
      <c r="P913" s="458"/>
      <c r="Q913" s="458"/>
      <c r="R913" s="458"/>
      <c r="S913" s="458"/>
      <c r="T913" s="458"/>
      <c r="U913" s="458"/>
      <c r="V913" s="458"/>
      <c r="W913" s="458"/>
    </row>
    <row r="914" spans="1:23" ht="15.75" customHeight="1">
      <c r="A914" s="458"/>
      <c r="B914" s="458"/>
      <c r="C914" s="458"/>
      <c r="D914" s="458"/>
      <c r="E914" s="458"/>
      <c r="F914" s="458"/>
      <c r="G914" s="458"/>
      <c r="H914" s="458"/>
      <c r="I914" s="458"/>
      <c r="J914" s="458"/>
      <c r="K914" s="458"/>
      <c r="L914" s="458"/>
      <c r="M914" s="458"/>
      <c r="N914" s="458"/>
      <c r="O914" s="458"/>
      <c r="P914" s="458"/>
      <c r="Q914" s="458"/>
      <c r="R914" s="458"/>
      <c r="S914" s="458"/>
      <c r="T914" s="458"/>
      <c r="U914" s="458"/>
      <c r="V914" s="458"/>
      <c r="W914" s="458"/>
    </row>
    <row r="915" spans="1:23" ht="15.75" customHeight="1">
      <c r="A915" s="458"/>
      <c r="B915" s="458"/>
      <c r="C915" s="458"/>
      <c r="D915" s="458"/>
      <c r="E915" s="458"/>
      <c r="F915" s="458"/>
      <c r="G915" s="458"/>
      <c r="H915" s="458"/>
      <c r="I915" s="458"/>
      <c r="J915" s="458"/>
      <c r="K915" s="458"/>
      <c r="L915" s="458"/>
      <c r="M915" s="458"/>
      <c r="N915" s="458"/>
      <c r="O915" s="458"/>
      <c r="P915" s="458"/>
      <c r="Q915" s="458"/>
      <c r="R915" s="458"/>
      <c r="S915" s="458"/>
      <c r="T915" s="458"/>
      <c r="U915" s="458"/>
      <c r="V915" s="458"/>
      <c r="W915" s="458"/>
    </row>
    <row r="916" spans="1:23" ht="15.75" customHeight="1">
      <c r="A916" s="458"/>
      <c r="B916" s="458"/>
      <c r="C916" s="458"/>
      <c r="D916" s="458"/>
      <c r="E916" s="458"/>
      <c r="F916" s="458"/>
      <c r="G916" s="458"/>
      <c r="H916" s="458"/>
      <c r="I916" s="458"/>
      <c r="J916" s="458"/>
      <c r="K916" s="458"/>
      <c r="L916" s="458"/>
      <c r="M916" s="458"/>
      <c r="N916" s="458"/>
      <c r="O916" s="458"/>
      <c r="P916" s="458"/>
      <c r="Q916" s="458"/>
      <c r="R916" s="458"/>
      <c r="S916" s="458"/>
      <c r="T916" s="458"/>
      <c r="U916" s="458"/>
      <c r="V916" s="458"/>
      <c r="W916" s="458"/>
    </row>
    <row r="917" spans="1:23" ht="15.75" customHeight="1">
      <c r="A917" s="458"/>
      <c r="B917" s="458"/>
      <c r="C917" s="458"/>
      <c r="D917" s="458"/>
      <c r="E917" s="458"/>
      <c r="F917" s="458"/>
      <c r="G917" s="458"/>
      <c r="H917" s="458"/>
      <c r="I917" s="458"/>
      <c r="J917" s="458"/>
      <c r="K917" s="458"/>
      <c r="L917" s="458"/>
      <c r="M917" s="458"/>
      <c r="N917" s="458"/>
      <c r="O917" s="458"/>
      <c r="P917" s="458"/>
      <c r="Q917" s="458"/>
      <c r="R917" s="458"/>
      <c r="S917" s="458"/>
      <c r="T917" s="458"/>
      <c r="U917" s="458"/>
      <c r="V917" s="458"/>
      <c r="W917" s="458"/>
    </row>
    <row r="918" spans="1:23" ht="15.75" customHeight="1">
      <c r="A918" s="458"/>
      <c r="B918" s="458"/>
      <c r="C918" s="458"/>
      <c r="D918" s="458"/>
      <c r="E918" s="458"/>
      <c r="F918" s="458"/>
      <c r="G918" s="458"/>
      <c r="H918" s="458"/>
      <c r="I918" s="458"/>
      <c r="J918" s="458"/>
      <c r="K918" s="458"/>
      <c r="L918" s="458"/>
      <c r="M918" s="458"/>
      <c r="N918" s="458"/>
      <c r="O918" s="458"/>
      <c r="P918" s="458"/>
      <c r="Q918" s="458"/>
      <c r="R918" s="458"/>
      <c r="S918" s="458"/>
      <c r="T918" s="458"/>
      <c r="U918" s="458"/>
      <c r="V918" s="458"/>
      <c r="W918" s="458"/>
    </row>
    <row r="919" spans="1:23" ht="15.75" customHeight="1">
      <c r="A919" s="458"/>
      <c r="B919" s="458"/>
      <c r="C919" s="458"/>
      <c r="D919" s="458"/>
      <c r="E919" s="458"/>
      <c r="F919" s="458"/>
      <c r="G919" s="458"/>
      <c r="H919" s="458"/>
      <c r="I919" s="458"/>
      <c r="J919" s="458"/>
      <c r="K919" s="458"/>
      <c r="L919" s="458"/>
      <c r="M919" s="458"/>
      <c r="N919" s="458"/>
      <c r="O919" s="458"/>
      <c r="P919" s="458"/>
      <c r="Q919" s="458"/>
      <c r="R919" s="458"/>
      <c r="S919" s="458"/>
      <c r="T919" s="458"/>
      <c r="U919" s="458"/>
      <c r="V919" s="458"/>
      <c r="W919" s="458"/>
    </row>
    <row r="920" spans="1:23" ht="15.75" customHeight="1">
      <c r="A920" s="458"/>
      <c r="B920" s="458"/>
      <c r="C920" s="458"/>
      <c r="D920" s="458"/>
      <c r="E920" s="458"/>
      <c r="F920" s="458"/>
      <c r="G920" s="458"/>
      <c r="H920" s="458"/>
      <c r="I920" s="458"/>
      <c r="J920" s="458"/>
      <c r="K920" s="458"/>
      <c r="L920" s="458"/>
      <c r="M920" s="458"/>
      <c r="N920" s="458"/>
      <c r="O920" s="458"/>
      <c r="P920" s="458"/>
      <c r="Q920" s="458"/>
      <c r="R920" s="458"/>
      <c r="S920" s="458"/>
      <c r="T920" s="458"/>
      <c r="U920" s="458"/>
      <c r="V920" s="458"/>
      <c r="W920" s="458"/>
    </row>
    <row r="921" spans="1:23" ht="15.75" customHeight="1">
      <c r="A921" s="458"/>
      <c r="B921" s="458"/>
      <c r="C921" s="458"/>
      <c r="D921" s="458"/>
      <c r="E921" s="458"/>
      <c r="F921" s="458"/>
      <c r="G921" s="458"/>
      <c r="H921" s="458"/>
      <c r="I921" s="458"/>
      <c r="J921" s="458"/>
      <c r="K921" s="458"/>
      <c r="L921" s="458"/>
      <c r="M921" s="458"/>
      <c r="N921" s="458"/>
      <c r="O921" s="458"/>
      <c r="P921" s="458"/>
      <c r="Q921" s="458"/>
      <c r="R921" s="458"/>
      <c r="S921" s="458"/>
      <c r="T921" s="458"/>
      <c r="U921" s="458"/>
      <c r="V921" s="458"/>
      <c r="W921" s="458"/>
    </row>
    <row r="922" spans="1:23" ht="15.75" customHeight="1">
      <c r="A922" s="458"/>
      <c r="B922" s="458"/>
      <c r="C922" s="458"/>
      <c r="D922" s="458"/>
      <c r="E922" s="458"/>
      <c r="F922" s="458"/>
      <c r="G922" s="458"/>
      <c r="H922" s="458"/>
      <c r="I922" s="458"/>
      <c r="J922" s="458"/>
      <c r="K922" s="458"/>
      <c r="L922" s="458"/>
      <c r="M922" s="458"/>
      <c r="N922" s="458"/>
      <c r="O922" s="458"/>
      <c r="P922" s="458"/>
      <c r="Q922" s="458"/>
      <c r="R922" s="458"/>
      <c r="S922" s="458"/>
      <c r="T922" s="458"/>
      <c r="U922" s="458"/>
      <c r="V922" s="458"/>
      <c r="W922" s="458"/>
    </row>
    <row r="923" spans="1:23" ht="15.75" customHeight="1">
      <c r="A923" s="458"/>
      <c r="B923" s="458"/>
      <c r="C923" s="458"/>
      <c r="D923" s="458"/>
      <c r="E923" s="458"/>
      <c r="F923" s="458"/>
      <c r="G923" s="458"/>
      <c r="H923" s="458"/>
      <c r="I923" s="458"/>
      <c r="J923" s="458"/>
      <c r="K923" s="458"/>
      <c r="L923" s="458"/>
      <c r="M923" s="458"/>
      <c r="N923" s="458"/>
      <c r="O923" s="458"/>
      <c r="P923" s="458"/>
      <c r="Q923" s="458"/>
      <c r="R923" s="458"/>
      <c r="S923" s="458"/>
      <c r="T923" s="458"/>
      <c r="U923" s="458"/>
      <c r="V923" s="458"/>
      <c r="W923" s="458"/>
    </row>
    <row r="924" spans="1:23" ht="15.75" customHeight="1">
      <c r="A924" s="458"/>
      <c r="B924" s="458"/>
      <c r="C924" s="458"/>
      <c r="D924" s="458"/>
      <c r="E924" s="458"/>
      <c r="F924" s="458"/>
      <c r="G924" s="458"/>
      <c r="H924" s="458"/>
      <c r="I924" s="458"/>
      <c r="J924" s="458"/>
      <c r="K924" s="458"/>
      <c r="L924" s="458"/>
      <c r="M924" s="458"/>
      <c r="N924" s="458"/>
      <c r="O924" s="458"/>
      <c r="P924" s="458"/>
      <c r="Q924" s="458"/>
      <c r="R924" s="458"/>
      <c r="S924" s="458"/>
      <c r="T924" s="458"/>
      <c r="U924" s="458"/>
      <c r="V924" s="458"/>
      <c r="W924" s="458"/>
    </row>
    <row r="925" spans="1:23" ht="15.75" customHeight="1">
      <c r="A925" s="458"/>
      <c r="B925" s="458"/>
      <c r="C925" s="458"/>
      <c r="D925" s="458"/>
      <c r="E925" s="458"/>
      <c r="F925" s="458"/>
      <c r="G925" s="458"/>
      <c r="H925" s="458"/>
      <c r="I925" s="458"/>
      <c r="J925" s="458"/>
      <c r="K925" s="458"/>
      <c r="L925" s="458"/>
      <c r="M925" s="458"/>
      <c r="N925" s="458"/>
      <c r="O925" s="458"/>
      <c r="P925" s="458"/>
      <c r="Q925" s="458"/>
      <c r="R925" s="458"/>
      <c r="S925" s="458"/>
      <c r="T925" s="458"/>
      <c r="U925" s="458"/>
      <c r="V925" s="458"/>
      <c r="W925" s="458"/>
    </row>
    <row r="926" spans="1:23" ht="15.75" customHeight="1">
      <c r="A926" s="458"/>
      <c r="B926" s="458"/>
      <c r="C926" s="458"/>
      <c r="D926" s="458"/>
      <c r="E926" s="458"/>
      <c r="F926" s="458"/>
      <c r="G926" s="458"/>
      <c r="H926" s="458"/>
      <c r="I926" s="458"/>
      <c r="J926" s="458"/>
      <c r="K926" s="458"/>
      <c r="L926" s="458"/>
      <c r="M926" s="458"/>
      <c r="N926" s="458"/>
      <c r="O926" s="458"/>
      <c r="P926" s="458"/>
      <c r="Q926" s="458"/>
      <c r="R926" s="458"/>
      <c r="S926" s="458"/>
      <c r="T926" s="458"/>
      <c r="U926" s="458"/>
      <c r="V926" s="458"/>
      <c r="W926" s="458"/>
    </row>
    <row r="927" spans="1:23" ht="15.75" customHeight="1">
      <c r="A927" s="458"/>
      <c r="B927" s="458"/>
      <c r="C927" s="458"/>
      <c r="D927" s="458"/>
      <c r="E927" s="458"/>
      <c r="F927" s="458"/>
      <c r="G927" s="458"/>
      <c r="H927" s="458"/>
      <c r="I927" s="458"/>
      <c r="J927" s="458"/>
      <c r="K927" s="458"/>
      <c r="L927" s="458"/>
      <c r="M927" s="458"/>
      <c r="N927" s="458"/>
      <c r="O927" s="458"/>
      <c r="P927" s="458"/>
      <c r="Q927" s="458"/>
      <c r="R927" s="458"/>
      <c r="S927" s="458"/>
      <c r="T927" s="458"/>
      <c r="U927" s="458"/>
      <c r="V927" s="458"/>
      <c r="W927" s="458"/>
    </row>
    <row r="928" spans="1:23" ht="15.75" customHeight="1">
      <c r="A928" s="458"/>
      <c r="B928" s="458"/>
      <c r="C928" s="458"/>
      <c r="D928" s="458"/>
      <c r="E928" s="458"/>
      <c r="F928" s="458"/>
      <c r="G928" s="458"/>
      <c r="H928" s="458"/>
      <c r="I928" s="458"/>
      <c r="J928" s="458"/>
      <c r="K928" s="458"/>
      <c r="L928" s="458"/>
      <c r="M928" s="458"/>
      <c r="N928" s="458"/>
      <c r="O928" s="458"/>
      <c r="P928" s="458"/>
      <c r="Q928" s="458"/>
      <c r="R928" s="458"/>
      <c r="S928" s="458"/>
      <c r="T928" s="458"/>
      <c r="U928" s="458"/>
      <c r="V928" s="458"/>
      <c r="W928" s="458"/>
    </row>
    <row r="929" spans="1:23" ht="15.75" customHeight="1">
      <c r="A929" s="458"/>
      <c r="B929" s="458"/>
      <c r="C929" s="458"/>
      <c r="D929" s="458"/>
      <c r="E929" s="458"/>
      <c r="F929" s="458"/>
      <c r="G929" s="458"/>
      <c r="H929" s="458"/>
      <c r="I929" s="458"/>
      <c r="J929" s="458"/>
      <c r="K929" s="458"/>
      <c r="L929" s="458"/>
      <c r="M929" s="458"/>
      <c r="N929" s="458"/>
      <c r="O929" s="458"/>
      <c r="P929" s="458"/>
      <c r="Q929" s="458"/>
      <c r="R929" s="458"/>
      <c r="S929" s="458"/>
      <c r="T929" s="458"/>
      <c r="U929" s="458"/>
      <c r="V929" s="458"/>
      <c r="W929" s="458"/>
    </row>
    <row r="930" spans="1:23" ht="15.75" customHeight="1">
      <c r="A930" s="458"/>
      <c r="B930" s="458"/>
      <c r="C930" s="458"/>
      <c r="D930" s="458"/>
      <c r="E930" s="458"/>
      <c r="F930" s="458"/>
      <c r="G930" s="458"/>
      <c r="H930" s="458"/>
      <c r="I930" s="458"/>
      <c r="J930" s="458"/>
      <c r="K930" s="458"/>
      <c r="L930" s="458"/>
      <c r="M930" s="458"/>
      <c r="N930" s="458"/>
      <c r="O930" s="458"/>
      <c r="P930" s="458"/>
      <c r="Q930" s="458"/>
      <c r="R930" s="458"/>
      <c r="S930" s="458"/>
      <c r="T930" s="458"/>
      <c r="U930" s="458"/>
      <c r="V930" s="458"/>
      <c r="W930" s="458"/>
    </row>
    <row r="931" spans="1:23" ht="15.75" customHeight="1">
      <c r="A931" s="458"/>
      <c r="B931" s="458"/>
      <c r="C931" s="458"/>
      <c r="D931" s="458"/>
      <c r="E931" s="458"/>
      <c r="F931" s="458"/>
      <c r="G931" s="458"/>
      <c r="H931" s="458"/>
      <c r="I931" s="458"/>
      <c r="J931" s="458"/>
      <c r="K931" s="458"/>
      <c r="L931" s="458"/>
      <c r="M931" s="458"/>
      <c r="N931" s="458"/>
      <c r="O931" s="458"/>
      <c r="P931" s="458"/>
      <c r="Q931" s="458"/>
      <c r="R931" s="458"/>
      <c r="S931" s="458"/>
      <c r="T931" s="458"/>
      <c r="U931" s="458"/>
      <c r="V931" s="458"/>
      <c r="W931" s="458"/>
    </row>
    <row r="932" spans="1:23" ht="15.75" customHeight="1">
      <c r="A932" s="458"/>
      <c r="B932" s="458"/>
      <c r="C932" s="458"/>
      <c r="D932" s="458"/>
      <c r="E932" s="458"/>
      <c r="F932" s="458"/>
      <c r="G932" s="458"/>
      <c r="H932" s="458"/>
      <c r="I932" s="458"/>
      <c r="J932" s="458"/>
      <c r="K932" s="458"/>
      <c r="L932" s="458"/>
      <c r="M932" s="458"/>
      <c r="N932" s="458"/>
      <c r="O932" s="458"/>
      <c r="P932" s="458"/>
      <c r="Q932" s="458"/>
      <c r="R932" s="458"/>
      <c r="S932" s="458"/>
      <c r="T932" s="458"/>
      <c r="U932" s="458"/>
      <c r="V932" s="458"/>
      <c r="W932" s="458"/>
    </row>
    <row r="933" spans="1:23" ht="15.75" customHeight="1">
      <c r="A933" s="458"/>
      <c r="B933" s="458"/>
      <c r="C933" s="458"/>
      <c r="D933" s="458"/>
      <c r="E933" s="458"/>
      <c r="F933" s="458"/>
      <c r="G933" s="458"/>
      <c r="H933" s="458"/>
      <c r="I933" s="458"/>
      <c r="J933" s="458"/>
      <c r="K933" s="458"/>
      <c r="L933" s="458"/>
      <c r="M933" s="458"/>
      <c r="N933" s="458"/>
      <c r="O933" s="458"/>
      <c r="P933" s="458"/>
      <c r="Q933" s="458"/>
      <c r="R933" s="458"/>
      <c r="S933" s="458"/>
      <c r="T933" s="458"/>
      <c r="U933" s="458"/>
      <c r="V933" s="458"/>
      <c r="W933" s="458"/>
    </row>
    <row r="934" spans="1:23" ht="15.75" customHeight="1">
      <c r="A934" s="458"/>
      <c r="B934" s="458"/>
      <c r="C934" s="458"/>
      <c r="D934" s="458"/>
      <c r="E934" s="458"/>
      <c r="F934" s="458"/>
      <c r="G934" s="458"/>
      <c r="H934" s="458"/>
      <c r="I934" s="458"/>
      <c r="J934" s="458"/>
      <c r="K934" s="458"/>
      <c r="L934" s="458"/>
      <c r="M934" s="458"/>
      <c r="N934" s="458"/>
      <c r="O934" s="458"/>
      <c r="P934" s="458"/>
      <c r="Q934" s="458"/>
      <c r="R934" s="458"/>
      <c r="S934" s="458"/>
      <c r="T934" s="458"/>
      <c r="U934" s="458"/>
      <c r="V934" s="458"/>
      <c r="W934" s="458"/>
    </row>
    <row r="935" spans="1:23" ht="15.75" customHeight="1">
      <c r="A935" s="458"/>
      <c r="B935" s="458"/>
      <c r="C935" s="458"/>
      <c r="D935" s="458"/>
      <c r="E935" s="458"/>
      <c r="F935" s="458"/>
      <c r="G935" s="458"/>
      <c r="H935" s="458"/>
      <c r="I935" s="458"/>
      <c r="J935" s="458"/>
      <c r="K935" s="458"/>
      <c r="L935" s="458"/>
      <c r="M935" s="458"/>
      <c r="N935" s="458"/>
      <c r="O935" s="458"/>
      <c r="P935" s="458"/>
      <c r="Q935" s="458"/>
      <c r="R935" s="458"/>
      <c r="S935" s="458"/>
      <c r="T935" s="458"/>
      <c r="U935" s="458"/>
      <c r="V935" s="458"/>
      <c r="W935" s="458"/>
    </row>
    <row r="936" spans="1:23" ht="15.75" customHeight="1">
      <c r="A936" s="458"/>
      <c r="B936" s="458"/>
      <c r="C936" s="458"/>
      <c r="D936" s="458"/>
      <c r="E936" s="458"/>
      <c r="F936" s="458"/>
      <c r="G936" s="458"/>
      <c r="H936" s="458"/>
      <c r="I936" s="458"/>
      <c r="J936" s="458"/>
      <c r="K936" s="458"/>
      <c r="L936" s="458"/>
      <c r="M936" s="458"/>
      <c r="N936" s="458"/>
      <c r="O936" s="458"/>
      <c r="P936" s="458"/>
      <c r="Q936" s="458"/>
      <c r="R936" s="458"/>
      <c r="S936" s="458"/>
      <c r="T936" s="458"/>
      <c r="U936" s="458"/>
      <c r="V936" s="458"/>
      <c r="W936" s="458"/>
    </row>
    <row r="937" spans="1:23" ht="15.75" customHeight="1">
      <c r="A937" s="458"/>
      <c r="B937" s="458"/>
      <c r="C937" s="458"/>
      <c r="D937" s="458"/>
      <c r="E937" s="458"/>
      <c r="F937" s="458"/>
      <c r="G937" s="458"/>
      <c r="H937" s="458"/>
      <c r="I937" s="458"/>
      <c r="J937" s="458"/>
      <c r="K937" s="458"/>
      <c r="L937" s="458"/>
      <c r="M937" s="458"/>
      <c r="N937" s="458"/>
      <c r="O937" s="458"/>
      <c r="P937" s="458"/>
      <c r="Q937" s="458"/>
      <c r="R937" s="458"/>
      <c r="S937" s="458"/>
      <c r="T937" s="458"/>
      <c r="U937" s="458"/>
      <c r="V937" s="458"/>
      <c r="W937" s="458"/>
    </row>
    <row r="938" spans="1:23" ht="15.75" customHeight="1">
      <c r="A938" s="458"/>
      <c r="B938" s="458"/>
      <c r="C938" s="458"/>
      <c r="D938" s="458"/>
      <c r="E938" s="458"/>
      <c r="F938" s="458"/>
      <c r="G938" s="458"/>
      <c r="H938" s="458"/>
      <c r="I938" s="458"/>
      <c r="J938" s="458"/>
      <c r="K938" s="458"/>
      <c r="L938" s="458"/>
      <c r="M938" s="458"/>
      <c r="N938" s="458"/>
      <c r="O938" s="458"/>
      <c r="P938" s="458"/>
      <c r="Q938" s="458"/>
      <c r="R938" s="458"/>
      <c r="S938" s="458"/>
      <c r="T938" s="458"/>
      <c r="U938" s="458"/>
      <c r="V938" s="458"/>
      <c r="W938" s="458"/>
    </row>
    <row r="939" spans="1:23" ht="15.75" customHeight="1">
      <c r="A939" s="458"/>
      <c r="B939" s="458"/>
      <c r="C939" s="458"/>
      <c r="D939" s="458"/>
      <c r="E939" s="458"/>
      <c r="F939" s="458"/>
      <c r="G939" s="458"/>
      <c r="H939" s="458"/>
      <c r="I939" s="458"/>
      <c r="J939" s="458"/>
      <c r="K939" s="458"/>
      <c r="L939" s="458"/>
      <c r="M939" s="458"/>
      <c r="N939" s="458"/>
      <c r="O939" s="458"/>
      <c r="P939" s="458"/>
      <c r="Q939" s="458"/>
      <c r="R939" s="458"/>
      <c r="S939" s="458"/>
      <c r="T939" s="458"/>
      <c r="U939" s="458"/>
      <c r="V939" s="458"/>
      <c r="W939" s="458"/>
    </row>
    <row r="940" spans="1:23" ht="15.75" customHeight="1">
      <c r="A940" s="458"/>
      <c r="B940" s="458"/>
      <c r="C940" s="458"/>
      <c r="D940" s="458"/>
      <c r="E940" s="458"/>
      <c r="F940" s="458"/>
      <c r="G940" s="458"/>
      <c r="H940" s="458"/>
      <c r="I940" s="458"/>
      <c r="J940" s="458"/>
      <c r="K940" s="458"/>
      <c r="L940" s="458"/>
      <c r="M940" s="458"/>
      <c r="N940" s="458"/>
      <c r="O940" s="458"/>
      <c r="P940" s="458"/>
      <c r="Q940" s="458"/>
      <c r="R940" s="458"/>
      <c r="S940" s="458"/>
      <c r="T940" s="458"/>
      <c r="U940" s="458"/>
      <c r="V940" s="458"/>
      <c r="W940" s="458"/>
    </row>
    <row r="941" spans="1:23" ht="15.75" customHeight="1">
      <c r="A941" s="458"/>
      <c r="B941" s="458"/>
      <c r="C941" s="458"/>
      <c r="D941" s="458"/>
      <c r="E941" s="458"/>
      <c r="F941" s="458"/>
      <c r="G941" s="458"/>
      <c r="H941" s="458"/>
      <c r="I941" s="458"/>
      <c r="J941" s="458"/>
      <c r="K941" s="458"/>
      <c r="L941" s="458"/>
      <c r="M941" s="458"/>
      <c r="N941" s="458"/>
      <c r="O941" s="458"/>
      <c r="P941" s="458"/>
      <c r="Q941" s="458"/>
      <c r="R941" s="458"/>
      <c r="S941" s="458"/>
      <c r="T941" s="458"/>
      <c r="U941" s="458"/>
      <c r="V941" s="458"/>
      <c r="W941" s="458"/>
    </row>
    <row r="942" spans="1:23" ht="15.75" customHeight="1">
      <c r="A942" s="458"/>
      <c r="B942" s="458"/>
      <c r="C942" s="458"/>
      <c r="D942" s="458"/>
      <c r="E942" s="458"/>
      <c r="F942" s="458"/>
      <c r="G942" s="458"/>
      <c r="H942" s="458"/>
      <c r="I942" s="458"/>
      <c r="J942" s="458"/>
      <c r="K942" s="458"/>
      <c r="L942" s="458"/>
      <c r="M942" s="458"/>
      <c r="N942" s="458"/>
      <c r="O942" s="458"/>
      <c r="P942" s="458"/>
      <c r="Q942" s="458"/>
      <c r="R942" s="458"/>
      <c r="S942" s="458"/>
      <c r="T942" s="458"/>
      <c r="U942" s="458"/>
      <c r="V942" s="458"/>
      <c r="W942" s="458"/>
    </row>
    <row r="943" spans="1:23" ht="15.75" customHeight="1">
      <c r="A943" s="458"/>
      <c r="B943" s="458"/>
      <c r="C943" s="458"/>
      <c r="D943" s="458"/>
      <c r="E943" s="458"/>
      <c r="F943" s="458"/>
      <c r="G943" s="458"/>
      <c r="H943" s="458"/>
      <c r="I943" s="458"/>
      <c r="J943" s="458"/>
      <c r="K943" s="458"/>
      <c r="L943" s="458"/>
      <c r="M943" s="458"/>
      <c r="N943" s="458"/>
      <c r="O943" s="458"/>
      <c r="P943" s="458"/>
      <c r="Q943" s="458"/>
      <c r="R943" s="458"/>
      <c r="S943" s="458"/>
      <c r="T943" s="458"/>
      <c r="U943" s="458"/>
      <c r="V943" s="458"/>
      <c r="W943" s="458"/>
    </row>
    <row r="944" spans="1:23" ht="15.75" customHeight="1">
      <c r="A944" s="458"/>
      <c r="B944" s="458"/>
      <c r="C944" s="458"/>
      <c r="D944" s="458"/>
      <c r="E944" s="458"/>
      <c r="F944" s="458"/>
      <c r="G944" s="458"/>
      <c r="H944" s="458"/>
      <c r="I944" s="458"/>
      <c r="J944" s="458"/>
      <c r="K944" s="458"/>
      <c r="L944" s="458"/>
      <c r="M944" s="458"/>
      <c r="N944" s="458"/>
      <c r="O944" s="458"/>
      <c r="P944" s="458"/>
      <c r="Q944" s="458"/>
      <c r="R944" s="458"/>
      <c r="S944" s="458"/>
      <c r="T944" s="458"/>
      <c r="U944" s="458"/>
      <c r="V944" s="458"/>
      <c r="W944" s="458"/>
    </row>
    <row r="945" spans="1:23" ht="15.75" customHeight="1">
      <c r="A945" s="458"/>
      <c r="B945" s="458"/>
      <c r="C945" s="458"/>
      <c r="D945" s="458"/>
      <c r="E945" s="458"/>
      <c r="F945" s="458"/>
      <c r="G945" s="458"/>
      <c r="H945" s="458"/>
      <c r="I945" s="458"/>
      <c r="J945" s="458"/>
      <c r="K945" s="458"/>
      <c r="L945" s="458"/>
      <c r="M945" s="458"/>
      <c r="N945" s="458"/>
      <c r="O945" s="458"/>
      <c r="P945" s="458"/>
      <c r="Q945" s="458"/>
      <c r="R945" s="458"/>
      <c r="S945" s="458"/>
      <c r="T945" s="458"/>
      <c r="U945" s="458"/>
      <c r="V945" s="458"/>
      <c r="W945" s="458"/>
    </row>
    <row r="946" spans="1:23" ht="15.75" customHeight="1">
      <c r="A946" s="458"/>
      <c r="B946" s="458"/>
      <c r="C946" s="458"/>
      <c r="D946" s="458"/>
      <c r="E946" s="458"/>
      <c r="F946" s="458"/>
      <c r="G946" s="458"/>
      <c r="H946" s="458"/>
      <c r="I946" s="458"/>
      <c r="J946" s="458"/>
      <c r="K946" s="458"/>
      <c r="L946" s="458"/>
      <c r="M946" s="458"/>
      <c r="N946" s="458"/>
      <c r="O946" s="458"/>
      <c r="P946" s="458"/>
      <c r="Q946" s="458"/>
      <c r="R946" s="458"/>
      <c r="S946" s="458"/>
      <c r="T946" s="458"/>
      <c r="U946" s="458"/>
      <c r="V946" s="458"/>
      <c r="W946" s="458"/>
    </row>
    <row r="947" spans="1:23" ht="15.75" customHeight="1">
      <c r="A947" s="458"/>
      <c r="B947" s="458"/>
      <c r="C947" s="458"/>
      <c r="D947" s="458"/>
      <c r="E947" s="458"/>
      <c r="F947" s="458"/>
      <c r="G947" s="458"/>
      <c r="H947" s="458"/>
      <c r="I947" s="458"/>
      <c r="J947" s="458"/>
      <c r="K947" s="458"/>
      <c r="L947" s="458"/>
      <c r="M947" s="458"/>
      <c r="N947" s="458"/>
      <c r="O947" s="458"/>
      <c r="P947" s="458"/>
      <c r="Q947" s="458"/>
      <c r="R947" s="458"/>
      <c r="S947" s="458"/>
      <c r="T947" s="458"/>
      <c r="U947" s="458"/>
      <c r="V947" s="458"/>
      <c r="W947" s="458"/>
    </row>
    <row r="948" spans="1:23" ht="15.75" customHeight="1">
      <c r="A948" s="458"/>
      <c r="B948" s="458"/>
      <c r="C948" s="458"/>
      <c r="D948" s="458"/>
      <c r="E948" s="458"/>
      <c r="F948" s="458"/>
      <c r="G948" s="458"/>
      <c r="H948" s="458"/>
      <c r="I948" s="458"/>
      <c r="J948" s="458"/>
      <c r="K948" s="458"/>
      <c r="L948" s="458"/>
      <c r="M948" s="458"/>
      <c r="N948" s="458"/>
      <c r="O948" s="458"/>
      <c r="P948" s="458"/>
      <c r="Q948" s="458"/>
      <c r="R948" s="458"/>
      <c r="S948" s="458"/>
      <c r="T948" s="458"/>
      <c r="U948" s="458"/>
      <c r="V948" s="458"/>
      <c r="W948" s="458"/>
    </row>
    <row r="949" spans="1:23" ht="15.75" customHeight="1">
      <c r="A949" s="458"/>
      <c r="B949" s="458"/>
      <c r="C949" s="458"/>
      <c r="D949" s="458"/>
      <c r="E949" s="458"/>
      <c r="F949" s="458"/>
      <c r="G949" s="458"/>
      <c r="H949" s="458"/>
      <c r="I949" s="458"/>
      <c r="J949" s="458"/>
      <c r="K949" s="458"/>
      <c r="L949" s="458"/>
      <c r="M949" s="458"/>
      <c r="N949" s="458"/>
      <c r="O949" s="458"/>
      <c r="P949" s="458"/>
      <c r="Q949" s="458"/>
      <c r="R949" s="458"/>
      <c r="S949" s="458"/>
      <c r="T949" s="458"/>
      <c r="U949" s="458"/>
      <c r="V949" s="458"/>
      <c r="W949" s="458"/>
    </row>
    <row r="950" spans="1:23" ht="15.75" customHeight="1">
      <c r="A950" s="458"/>
      <c r="B950" s="458"/>
      <c r="C950" s="458"/>
      <c r="D950" s="458"/>
      <c r="E950" s="458"/>
      <c r="F950" s="458"/>
      <c r="G950" s="458"/>
      <c r="H950" s="458"/>
      <c r="I950" s="458"/>
      <c r="J950" s="458"/>
      <c r="K950" s="458"/>
      <c r="L950" s="458"/>
      <c r="M950" s="458"/>
      <c r="N950" s="458"/>
      <c r="O950" s="458"/>
      <c r="P950" s="458"/>
      <c r="Q950" s="458"/>
      <c r="R950" s="458"/>
      <c r="S950" s="458"/>
      <c r="T950" s="458"/>
      <c r="U950" s="458"/>
      <c r="V950" s="458"/>
      <c r="W950" s="458"/>
    </row>
    <row r="951" spans="1:23" ht="15.75" customHeight="1">
      <c r="A951" s="458"/>
      <c r="B951" s="458"/>
      <c r="C951" s="458"/>
      <c r="D951" s="458"/>
      <c r="E951" s="458"/>
      <c r="F951" s="458"/>
      <c r="G951" s="458"/>
      <c r="H951" s="458"/>
      <c r="I951" s="458"/>
      <c r="J951" s="458"/>
      <c r="K951" s="458"/>
      <c r="L951" s="458"/>
      <c r="M951" s="458"/>
      <c r="N951" s="458"/>
      <c r="O951" s="458"/>
      <c r="P951" s="458"/>
      <c r="Q951" s="458"/>
      <c r="R951" s="458"/>
      <c r="S951" s="458"/>
      <c r="T951" s="458"/>
      <c r="U951" s="458"/>
      <c r="V951" s="458"/>
      <c r="W951" s="458"/>
    </row>
    <row r="952" spans="1:23" ht="15.75" customHeight="1">
      <c r="A952" s="458"/>
      <c r="B952" s="458"/>
      <c r="C952" s="458"/>
      <c r="D952" s="458"/>
      <c r="E952" s="458"/>
      <c r="F952" s="458"/>
      <c r="G952" s="458"/>
      <c r="H952" s="458"/>
      <c r="I952" s="458"/>
      <c r="J952" s="458"/>
      <c r="K952" s="458"/>
      <c r="L952" s="458"/>
      <c r="M952" s="458"/>
      <c r="N952" s="458"/>
      <c r="O952" s="458"/>
      <c r="P952" s="458"/>
      <c r="Q952" s="458"/>
      <c r="R952" s="458"/>
      <c r="S952" s="458"/>
      <c r="T952" s="458"/>
      <c r="U952" s="458"/>
      <c r="V952" s="458"/>
      <c r="W952" s="458"/>
    </row>
    <row r="953" spans="1:23" ht="15.75" customHeight="1">
      <c r="A953" s="458"/>
      <c r="B953" s="458"/>
      <c r="C953" s="458"/>
      <c r="D953" s="458"/>
      <c r="E953" s="458"/>
      <c r="F953" s="458"/>
      <c r="G953" s="458"/>
      <c r="H953" s="458"/>
      <c r="I953" s="458"/>
      <c r="J953" s="458"/>
      <c r="K953" s="458"/>
      <c r="L953" s="458"/>
      <c r="M953" s="458"/>
      <c r="N953" s="458"/>
      <c r="O953" s="458"/>
      <c r="P953" s="458"/>
      <c r="Q953" s="458"/>
      <c r="R953" s="458"/>
      <c r="S953" s="458"/>
      <c r="T953" s="458"/>
      <c r="U953" s="458"/>
      <c r="V953" s="458"/>
      <c r="W953" s="458"/>
    </row>
    <row r="954" spans="1:23" ht="15.75" customHeight="1">
      <c r="A954" s="458"/>
      <c r="B954" s="458"/>
      <c r="C954" s="458"/>
      <c r="D954" s="458"/>
      <c r="E954" s="458"/>
      <c r="F954" s="458"/>
      <c r="G954" s="458"/>
      <c r="H954" s="458"/>
      <c r="I954" s="458"/>
      <c r="J954" s="458"/>
      <c r="K954" s="458"/>
      <c r="L954" s="458"/>
      <c r="M954" s="458"/>
      <c r="N954" s="458"/>
      <c r="O954" s="458"/>
      <c r="P954" s="458"/>
      <c r="Q954" s="458"/>
      <c r="R954" s="458"/>
      <c r="S954" s="458"/>
      <c r="T954" s="458"/>
      <c r="U954" s="458"/>
      <c r="V954" s="458"/>
      <c r="W954" s="458"/>
    </row>
    <row r="955" spans="1:23" ht="15.75" customHeight="1">
      <c r="A955" s="458"/>
      <c r="B955" s="458"/>
      <c r="C955" s="458"/>
      <c r="D955" s="458"/>
      <c r="E955" s="458"/>
      <c r="F955" s="458"/>
      <c r="G955" s="458"/>
      <c r="H955" s="458"/>
      <c r="I955" s="458"/>
      <c r="J955" s="458"/>
      <c r="K955" s="458"/>
      <c r="L955" s="458"/>
      <c r="M955" s="458"/>
      <c r="N955" s="458"/>
      <c r="O955" s="458"/>
      <c r="P955" s="458"/>
      <c r="Q955" s="458"/>
      <c r="R955" s="458"/>
      <c r="S955" s="458"/>
      <c r="T955" s="458"/>
      <c r="U955" s="458"/>
      <c r="V955" s="458"/>
      <c r="W955" s="458"/>
    </row>
    <row r="956" spans="1:23" ht="15.75" customHeight="1">
      <c r="A956" s="458"/>
      <c r="B956" s="458"/>
      <c r="C956" s="458"/>
      <c r="D956" s="458"/>
      <c r="E956" s="458"/>
      <c r="F956" s="458"/>
      <c r="G956" s="458"/>
      <c r="H956" s="458"/>
      <c r="I956" s="458"/>
      <c r="J956" s="458"/>
      <c r="K956" s="458"/>
      <c r="L956" s="458"/>
      <c r="M956" s="458"/>
      <c r="N956" s="458"/>
      <c r="O956" s="458"/>
      <c r="P956" s="458"/>
      <c r="Q956" s="458"/>
      <c r="R956" s="458"/>
      <c r="S956" s="458"/>
      <c r="T956" s="458"/>
      <c r="U956" s="458"/>
      <c r="V956" s="458"/>
      <c r="W956" s="458"/>
    </row>
    <row r="957" spans="1:23" ht="15.75" customHeight="1">
      <c r="A957" s="458"/>
      <c r="B957" s="458"/>
      <c r="C957" s="458"/>
      <c r="D957" s="458"/>
      <c r="E957" s="458"/>
      <c r="F957" s="458"/>
      <c r="G957" s="458"/>
      <c r="H957" s="458"/>
      <c r="I957" s="458"/>
      <c r="J957" s="458"/>
      <c r="K957" s="458"/>
      <c r="L957" s="458"/>
      <c r="M957" s="458"/>
      <c r="N957" s="458"/>
      <c r="O957" s="458"/>
      <c r="P957" s="458"/>
      <c r="Q957" s="458"/>
      <c r="R957" s="458"/>
      <c r="S957" s="458"/>
      <c r="T957" s="458"/>
      <c r="U957" s="458"/>
      <c r="V957" s="458"/>
      <c r="W957" s="458"/>
    </row>
    <row r="958" spans="1:23" ht="15.75" customHeight="1">
      <c r="A958" s="458"/>
      <c r="B958" s="458"/>
      <c r="C958" s="458"/>
      <c r="D958" s="458"/>
      <c r="E958" s="458"/>
      <c r="F958" s="458"/>
      <c r="G958" s="458"/>
      <c r="H958" s="458"/>
      <c r="I958" s="458"/>
      <c r="J958" s="458"/>
      <c r="K958" s="458"/>
      <c r="L958" s="458"/>
      <c r="M958" s="458"/>
      <c r="N958" s="458"/>
      <c r="O958" s="458"/>
      <c r="P958" s="458"/>
      <c r="Q958" s="458"/>
      <c r="R958" s="458"/>
      <c r="S958" s="458"/>
      <c r="T958" s="458"/>
      <c r="U958" s="458"/>
      <c r="V958" s="458"/>
      <c r="W958" s="458"/>
    </row>
    <row r="959" spans="1:23" ht="15.75" customHeight="1">
      <c r="A959" s="458"/>
      <c r="B959" s="458"/>
      <c r="C959" s="458"/>
      <c r="D959" s="458"/>
      <c r="E959" s="458"/>
      <c r="F959" s="458"/>
      <c r="G959" s="458"/>
      <c r="H959" s="458"/>
      <c r="I959" s="458"/>
      <c r="J959" s="458"/>
      <c r="K959" s="458"/>
      <c r="L959" s="458"/>
      <c r="M959" s="458"/>
      <c r="N959" s="458"/>
      <c r="O959" s="458"/>
      <c r="P959" s="458"/>
      <c r="Q959" s="458"/>
      <c r="R959" s="458"/>
      <c r="S959" s="458"/>
      <c r="T959" s="458"/>
      <c r="U959" s="458"/>
      <c r="V959" s="458"/>
      <c r="W959" s="458"/>
    </row>
    <row r="960" spans="1:23" ht="15.75" customHeight="1">
      <c r="A960" s="458"/>
      <c r="B960" s="458"/>
      <c r="C960" s="458"/>
      <c r="D960" s="458"/>
      <c r="E960" s="458"/>
      <c r="F960" s="458"/>
      <c r="G960" s="458"/>
      <c r="H960" s="458"/>
      <c r="I960" s="458"/>
      <c r="J960" s="458"/>
      <c r="K960" s="458"/>
      <c r="L960" s="458"/>
      <c r="M960" s="458"/>
      <c r="N960" s="458"/>
      <c r="O960" s="458"/>
      <c r="P960" s="458"/>
      <c r="Q960" s="458"/>
      <c r="R960" s="458"/>
      <c r="S960" s="458"/>
      <c r="T960" s="458"/>
      <c r="U960" s="458"/>
      <c r="V960" s="458"/>
      <c r="W960" s="458"/>
    </row>
    <row r="961" spans="1:23" ht="15.75" customHeight="1">
      <c r="A961" s="458"/>
      <c r="B961" s="458"/>
      <c r="C961" s="458"/>
      <c r="D961" s="458"/>
      <c r="E961" s="458"/>
      <c r="F961" s="458"/>
      <c r="G961" s="458"/>
      <c r="H961" s="458"/>
      <c r="I961" s="458"/>
      <c r="J961" s="458"/>
      <c r="K961" s="458"/>
      <c r="L961" s="458"/>
      <c r="M961" s="458"/>
      <c r="N961" s="458"/>
      <c r="O961" s="458"/>
      <c r="P961" s="458"/>
      <c r="Q961" s="458"/>
      <c r="R961" s="458"/>
      <c r="S961" s="458"/>
      <c r="T961" s="458"/>
      <c r="U961" s="458"/>
      <c r="V961" s="458"/>
      <c r="W961" s="458"/>
    </row>
    <row r="962" spans="1:23" ht="15.75" customHeight="1">
      <c r="A962" s="458"/>
      <c r="B962" s="458"/>
      <c r="C962" s="458"/>
      <c r="D962" s="458"/>
      <c r="E962" s="458"/>
      <c r="F962" s="458"/>
      <c r="G962" s="458"/>
      <c r="H962" s="458"/>
      <c r="I962" s="458"/>
      <c r="J962" s="458"/>
      <c r="K962" s="458"/>
      <c r="L962" s="458"/>
      <c r="M962" s="458"/>
      <c r="N962" s="458"/>
      <c r="O962" s="458"/>
      <c r="P962" s="458"/>
      <c r="Q962" s="458"/>
      <c r="R962" s="458"/>
      <c r="S962" s="458"/>
      <c r="T962" s="458"/>
      <c r="U962" s="458"/>
      <c r="V962" s="458"/>
      <c r="W962" s="458"/>
    </row>
    <row r="963" spans="1:23" ht="15.75" customHeight="1">
      <c r="A963" s="458"/>
      <c r="B963" s="458"/>
      <c r="C963" s="458"/>
      <c r="D963" s="458"/>
      <c r="E963" s="458"/>
      <c r="F963" s="458"/>
      <c r="G963" s="458"/>
      <c r="H963" s="458"/>
      <c r="I963" s="458"/>
      <c r="J963" s="458"/>
      <c r="K963" s="458"/>
      <c r="L963" s="458"/>
      <c r="M963" s="458"/>
      <c r="N963" s="458"/>
      <c r="O963" s="458"/>
      <c r="P963" s="458"/>
      <c r="Q963" s="458"/>
      <c r="R963" s="458"/>
      <c r="S963" s="458"/>
      <c r="T963" s="458"/>
      <c r="U963" s="458"/>
      <c r="V963" s="458"/>
      <c r="W963" s="458"/>
    </row>
    <row r="964" spans="1:23" ht="15.75" customHeight="1">
      <c r="A964" s="458"/>
      <c r="B964" s="458"/>
      <c r="C964" s="458"/>
      <c r="D964" s="458"/>
      <c r="E964" s="458"/>
      <c r="F964" s="458"/>
      <c r="G964" s="458"/>
      <c r="H964" s="458"/>
      <c r="I964" s="458"/>
      <c r="J964" s="458"/>
      <c r="K964" s="458"/>
      <c r="L964" s="458"/>
      <c r="M964" s="458"/>
      <c r="N964" s="458"/>
      <c r="O964" s="458"/>
      <c r="P964" s="458"/>
      <c r="Q964" s="458"/>
      <c r="R964" s="458"/>
      <c r="S964" s="458"/>
      <c r="T964" s="458"/>
      <c r="U964" s="458"/>
      <c r="V964" s="458"/>
      <c r="W964" s="458"/>
    </row>
    <row r="965" spans="1:23" ht="15.75" customHeight="1">
      <c r="A965" s="458"/>
      <c r="B965" s="458"/>
      <c r="C965" s="458"/>
      <c r="D965" s="458"/>
      <c r="E965" s="458"/>
      <c r="F965" s="458"/>
      <c r="G965" s="458"/>
      <c r="H965" s="458"/>
      <c r="I965" s="458"/>
      <c r="J965" s="458"/>
      <c r="K965" s="458"/>
      <c r="L965" s="458"/>
      <c r="M965" s="458"/>
      <c r="N965" s="458"/>
      <c r="O965" s="458"/>
      <c r="P965" s="458"/>
      <c r="Q965" s="458"/>
      <c r="R965" s="458"/>
      <c r="S965" s="458"/>
      <c r="T965" s="458"/>
      <c r="U965" s="458"/>
      <c r="V965" s="458"/>
      <c r="W965" s="458"/>
    </row>
    <row r="966" spans="1:23" ht="15.75" customHeight="1">
      <c r="A966" s="458"/>
      <c r="B966" s="458"/>
      <c r="C966" s="458"/>
      <c r="D966" s="458"/>
      <c r="E966" s="458"/>
      <c r="F966" s="458"/>
      <c r="G966" s="458"/>
      <c r="H966" s="458"/>
      <c r="I966" s="458"/>
      <c r="J966" s="458"/>
      <c r="K966" s="458"/>
      <c r="L966" s="458"/>
      <c r="M966" s="458"/>
      <c r="N966" s="458"/>
      <c r="O966" s="458"/>
      <c r="P966" s="458"/>
      <c r="Q966" s="458"/>
      <c r="R966" s="458"/>
      <c r="S966" s="458"/>
      <c r="T966" s="458"/>
      <c r="U966" s="458"/>
      <c r="V966" s="458"/>
      <c r="W966" s="458"/>
    </row>
    <row r="967" spans="1:23" ht="15.75" customHeight="1">
      <c r="A967" s="458"/>
      <c r="B967" s="458"/>
      <c r="C967" s="458"/>
      <c r="D967" s="458"/>
      <c r="E967" s="458"/>
      <c r="F967" s="458"/>
      <c r="G967" s="458"/>
      <c r="H967" s="458"/>
      <c r="I967" s="458"/>
      <c r="J967" s="458"/>
      <c r="K967" s="458"/>
      <c r="L967" s="458"/>
      <c r="M967" s="458"/>
      <c r="N967" s="458"/>
      <c r="O967" s="458"/>
      <c r="P967" s="458"/>
      <c r="Q967" s="458"/>
      <c r="R967" s="458"/>
      <c r="S967" s="458"/>
      <c r="T967" s="458"/>
      <c r="U967" s="458"/>
      <c r="V967" s="458"/>
      <c r="W967" s="458"/>
    </row>
    <row r="968" spans="1:23" ht="15.75" customHeight="1">
      <c r="A968" s="458"/>
      <c r="B968" s="458"/>
      <c r="C968" s="458"/>
      <c r="D968" s="458"/>
      <c r="E968" s="458"/>
      <c r="F968" s="458"/>
      <c r="G968" s="458"/>
      <c r="H968" s="458"/>
      <c r="I968" s="458"/>
      <c r="J968" s="458"/>
      <c r="K968" s="458"/>
      <c r="L968" s="458"/>
      <c r="M968" s="458"/>
      <c r="N968" s="458"/>
      <c r="O968" s="458"/>
      <c r="P968" s="458"/>
      <c r="Q968" s="458"/>
      <c r="R968" s="458"/>
      <c r="S968" s="458"/>
      <c r="T968" s="458"/>
      <c r="U968" s="458"/>
      <c r="V968" s="458"/>
      <c r="W968" s="458"/>
    </row>
    <row r="969" spans="1:23" ht="15.75" customHeight="1">
      <c r="A969" s="458"/>
      <c r="B969" s="458"/>
      <c r="C969" s="458"/>
      <c r="D969" s="458"/>
      <c r="E969" s="458"/>
      <c r="F969" s="458"/>
      <c r="G969" s="458"/>
      <c r="H969" s="458"/>
      <c r="I969" s="458"/>
      <c r="J969" s="458"/>
      <c r="K969" s="458"/>
      <c r="L969" s="458"/>
      <c r="M969" s="458"/>
      <c r="N969" s="458"/>
      <c r="O969" s="458"/>
      <c r="P969" s="458"/>
      <c r="Q969" s="458"/>
      <c r="R969" s="458"/>
      <c r="S969" s="458"/>
      <c r="T969" s="458"/>
      <c r="U969" s="458"/>
      <c r="V969" s="458"/>
      <c r="W969" s="458"/>
    </row>
    <row r="970" spans="1:23" ht="15.75" customHeight="1">
      <c r="A970" s="458"/>
      <c r="B970" s="458"/>
      <c r="C970" s="458"/>
      <c r="D970" s="458"/>
      <c r="E970" s="458"/>
      <c r="F970" s="458"/>
      <c r="G970" s="458"/>
      <c r="H970" s="458"/>
      <c r="I970" s="458"/>
      <c r="J970" s="458"/>
      <c r="K970" s="458"/>
      <c r="L970" s="458"/>
      <c r="M970" s="458"/>
      <c r="N970" s="458"/>
      <c r="O970" s="458"/>
      <c r="P970" s="458"/>
      <c r="Q970" s="458"/>
      <c r="R970" s="458"/>
      <c r="S970" s="458"/>
      <c r="T970" s="458"/>
      <c r="U970" s="458"/>
      <c r="V970" s="458"/>
      <c r="W970" s="458"/>
    </row>
    <row r="971" spans="1:23" ht="15.75" customHeight="1">
      <c r="A971" s="458"/>
      <c r="B971" s="458"/>
      <c r="C971" s="458"/>
      <c r="D971" s="458"/>
      <c r="E971" s="458"/>
      <c r="F971" s="458"/>
      <c r="G971" s="458"/>
      <c r="H971" s="458"/>
      <c r="I971" s="458"/>
      <c r="J971" s="458"/>
      <c r="K971" s="458"/>
      <c r="L971" s="458"/>
      <c r="M971" s="458"/>
      <c r="N971" s="458"/>
      <c r="O971" s="458"/>
      <c r="P971" s="458"/>
      <c r="Q971" s="458"/>
      <c r="R971" s="458"/>
      <c r="S971" s="458"/>
      <c r="T971" s="458"/>
      <c r="U971" s="458"/>
      <c r="V971" s="458"/>
      <c r="W971" s="458"/>
    </row>
    <row r="972" spans="1:23" ht="15.75" customHeight="1">
      <c r="A972" s="458"/>
      <c r="B972" s="458"/>
      <c r="C972" s="458"/>
      <c r="D972" s="458"/>
      <c r="E972" s="458"/>
      <c r="F972" s="458"/>
      <c r="G972" s="458"/>
      <c r="H972" s="458"/>
      <c r="I972" s="458"/>
      <c r="J972" s="458"/>
      <c r="K972" s="458"/>
      <c r="L972" s="458"/>
      <c r="M972" s="458"/>
      <c r="N972" s="458"/>
      <c r="O972" s="458"/>
      <c r="P972" s="458"/>
      <c r="Q972" s="458"/>
      <c r="R972" s="458"/>
      <c r="S972" s="458"/>
      <c r="T972" s="458"/>
      <c r="U972" s="458"/>
      <c r="V972" s="458"/>
      <c r="W972" s="458"/>
    </row>
    <row r="973" spans="1:23" ht="15.75" customHeight="1">
      <c r="A973" s="458"/>
      <c r="B973" s="458"/>
      <c r="C973" s="458"/>
      <c r="D973" s="458"/>
      <c r="E973" s="458"/>
      <c r="F973" s="458"/>
      <c r="G973" s="458"/>
      <c r="H973" s="458"/>
      <c r="I973" s="458"/>
      <c r="J973" s="458"/>
      <c r="K973" s="458"/>
      <c r="L973" s="458"/>
      <c r="M973" s="458"/>
      <c r="N973" s="458"/>
      <c r="O973" s="458"/>
      <c r="P973" s="458"/>
      <c r="Q973" s="458"/>
      <c r="R973" s="458"/>
      <c r="S973" s="458"/>
      <c r="T973" s="458"/>
      <c r="U973" s="458"/>
      <c r="V973" s="458"/>
      <c r="W973" s="458"/>
    </row>
    <row r="974" spans="1:23" ht="15.75" customHeight="1">
      <c r="A974" s="458"/>
      <c r="B974" s="458"/>
      <c r="C974" s="458"/>
      <c r="D974" s="458"/>
      <c r="E974" s="458"/>
      <c r="F974" s="458"/>
      <c r="G974" s="458"/>
      <c r="H974" s="458"/>
      <c r="I974" s="458"/>
      <c r="J974" s="458"/>
      <c r="K974" s="458"/>
      <c r="L974" s="458"/>
      <c r="M974" s="458"/>
      <c r="N974" s="458"/>
      <c r="O974" s="458"/>
      <c r="P974" s="458"/>
      <c r="Q974" s="458"/>
      <c r="R974" s="458"/>
      <c r="S974" s="458"/>
      <c r="T974" s="458"/>
      <c r="U974" s="458"/>
      <c r="V974" s="458"/>
      <c r="W974" s="458"/>
    </row>
    <row r="975" spans="1:23" ht="15.75" customHeight="1">
      <c r="A975" s="458"/>
      <c r="B975" s="458"/>
      <c r="C975" s="458"/>
      <c r="D975" s="458"/>
      <c r="E975" s="458"/>
      <c r="F975" s="458"/>
      <c r="G975" s="458"/>
      <c r="H975" s="458"/>
      <c r="I975" s="458"/>
      <c r="J975" s="458"/>
      <c r="K975" s="458"/>
      <c r="L975" s="458"/>
      <c r="M975" s="458"/>
      <c r="N975" s="458"/>
      <c r="O975" s="458"/>
      <c r="P975" s="458"/>
      <c r="Q975" s="458"/>
      <c r="R975" s="458"/>
      <c r="S975" s="458"/>
      <c r="T975" s="458"/>
      <c r="U975" s="458"/>
      <c r="V975" s="458"/>
      <c r="W975" s="458"/>
    </row>
    <row r="976" spans="1:23" ht="15.75" customHeight="1">
      <c r="A976" s="458"/>
      <c r="B976" s="458"/>
      <c r="C976" s="458"/>
      <c r="D976" s="458"/>
      <c r="E976" s="458"/>
      <c r="F976" s="458"/>
      <c r="G976" s="458"/>
      <c r="H976" s="458"/>
      <c r="I976" s="458"/>
      <c r="J976" s="458"/>
      <c r="K976" s="458"/>
      <c r="L976" s="458"/>
      <c r="M976" s="458"/>
      <c r="N976" s="458"/>
      <c r="O976" s="458"/>
      <c r="P976" s="458"/>
      <c r="Q976" s="458"/>
      <c r="R976" s="458"/>
      <c r="S976" s="458"/>
      <c r="T976" s="458"/>
      <c r="U976" s="458"/>
      <c r="V976" s="458"/>
      <c r="W976" s="458"/>
    </row>
    <row r="977" spans="1:23" ht="15.75" customHeight="1">
      <c r="A977" s="458"/>
      <c r="B977" s="458"/>
      <c r="C977" s="458"/>
      <c r="D977" s="458"/>
      <c r="E977" s="458"/>
      <c r="F977" s="458"/>
      <c r="G977" s="458"/>
      <c r="H977" s="458"/>
      <c r="I977" s="458"/>
      <c r="J977" s="458"/>
      <c r="K977" s="458"/>
      <c r="L977" s="458"/>
      <c r="M977" s="458"/>
      <c r="N977" s="458"/>
      <c r="O977" s="458"/>
      <c r="P977" s="458"/>
      <c r="Q977" s="458"/>
      <c r="R977" s="458"/>
      <c r="S977" s="458"/>
      <c r="T977" s="458"/>
      <c r="U977" s="458"/>
      <c r="V977" s="458"/>
      <c r="W977" s="458"/>
    </row>
    <row r="978" spans="1:23" ht="15.75" customHeight="1">
      <c r="A978" s="458"/>
      <c r="B978" s="458"/>
      <c r="C978" s="458"/>
      <c r="D978" s="458"/>
      <c r="E978" s="458"/>
      <c r="F978" s="458"/>
      <c r="G978" s="458"/>
      <c r="H978" s="458"/>
      <c r="I978" s="458"/>
      <c r="J978" s="458"/>
      <c r="K978" s="458"/>
      <c r="L978" s="458"/>
      <c r="M978" s="458"/>
      <c r="N978" s="458"/>
      <c r="O978" s="458"/>
      <c r="P978" s="458"/>
      <c r="Q978" s="458"/>
      <c r="R978" s="458"/>
      <c r="S978" s="458"/>
      <c r="T978" s="458"/>
      <c r="U978" s="458"/>
      <c r="V978" s="458"/>
      <c r="W978" s="458"/>
    </row>
    <row r="979" spans="1:23" ht="15.75" customHeight="1">
      <c r="A979" s="458"/>
      <c r="B979" s="458"/>
      <c r="C979" s="458"/>
      <c r="D979" s="458"/>
      <c r="E979" s="458"/>
      <c r="F979" s="458"/>
      <c r="G979" s="458"/>
      <c r="H979" s="458"/>
      <c r="I979" s="458"/>
      <c r="J979" s="458"/>
      <c r="K979" s="458"/>
      <c r="L979" s="458"/>
      <c r="M979" s="458"/>
      <c r="N979" s="458"/>
      <c r="O979" s="458"/>
      <c r="P979" s="458"/>
      <c r="Q979" s="458"/>
      <c r="R979" s="458"/>
      <c r="S979" s="458"/>
      <c r="T979" s="458"/>
      <c r="U979" s="458"/>
      <c r="V979" s="458"/>
      <c r="W979" s="458"/>
    </row>
    <row r="980" spans="1:23" ht="15.75" customHeight="1">
      <c r="A980" s="458"/>
      <c r="B980" s="458"/>
      <c r="C980" s="458"/>
      <c r="D980" s="458"/>
      <c r="E980" s="458"/>
      <c r="F980" s="458"/>
      <c r="G980" s="458"/>
      <c r="H980" s="458"/>
      <c r="I980" s="458"/>
      <c r="J980" s="458"/>
      <c r="K980" s="458"/>
      <c r="L980" s="458"/>
      <c r="M980" s="458"/>
      <c r="N980" s="458"/>
      <c r="O980" s="458"/>
      <c r="P980" s="458"/>
      <c r="Q980" s="458"/>
      <c r="R980" s="458"/>
      <c r="S980" s="458"/>
      <c r="T980" s="458"/>
      <c r="U980" s="458"/>
      <c r="V980" s="458"/>
      <c r="W980" s="458"/>
    </row>
    <row r="981" spans="1:23" ht="15.75" customHeight="1">
      <c r="A981" s="458"/>
      <c r="B981" s="458"/>
      <c r="C981" s="458"/>
      <c r="D981" s="458"/>
      <c r="E981" s="458"/>
      <c r="F981" s="458"/>
      <c r="G981" s="458"/>
      <c r="H981" s="458"/>
      <c r="I981" s="458"/>
      <c r="J981" s="458"/>
      <c r="K981" s="458"/>
      <c r="L981" s="458"/>
      <c r="M981" s="458"/>
      <c r="N981" s="458"/>
      <c r="O981" s="458"/>
      <c r="P981" s="458"/>
      <c r="Q981" s="458"/>
      <c r="R981" s="458"/>
      <c r="S981" s="458"/>
      <c r="T981" s="458"/>
      <c r="U981" s="458"/>
      <c r="V981" s="458"/>
      <c r="W981" s="458"/>
    </row>
    <row r="982" spans="1:23" ht="15.75" customHeight="1">
      <c r="A982" s="458"/>
      <c r="B982" s="458"/>
      <c r="C982" s="458"/>
      <c r="D982" s="458"/>
      <c r="E982" s="458"/>
      <c r="F982" s="458"/>
      <c r="G982" s="458"/>
      <c r="H982" s="458"/>
      <c r="I982" s="458"/>
      <c r="J982" s="458"/>
      <c r="K982" s="458"/>
      <c r="L982" s="458"/>
      <c r="M982" s="458"/>
      <c r="N982" s="458"/>
      <c r="O982" s="458"/>
      <c r="P982" s="458"/>
      <c r="Q982" s="458"/>
      <c r="R982" s="458"/>
      <c r="S982" s="458"/>
      <c r="T982" s="458"/>
      <c r="U982" s="458"/>
      <c r="V982" s="458"/>
      <c r="W982" s="458"/>
    </row>
    <row r="983" spans="1:23" ht="15.75" customHeight="1">
      <c r="A983" s="458"/>
      <c r="B983" s="458"/>
      <c r="C983" s="458"/>
      <c r="D983" s="458"/>
      <c r="E983" s="458"/>
      <c r="F983" s="458"/>
      <c r="G983" s="458"/>
      <c r="H983" s="458"/>
      <c r="I983" s="458"/>
      <c r="J983" s="458"/>
      <c r="K983" s="458"/>
      <c r="L983" s="458"/>
      <c r="M983" s="458"/>
      <c r="N983" s="458"/>
      <c r="O983" s="458"/>
      <c r="P983" s="458"/>
      <c r="Q983" s="458"/>
      <c r="R983" s="458"/>
      <c r="S983" s="458"/>
      <c r="T983" s="458"/>
      <c r="U983" s="458"/>
      <c r="V983" s="458"/>
      <c r="W983" s="458"/>
    </row>
    <row r="984" spans="1:23" ht="15.75" customHeight="1">
      <c r="A984" s="458"/>
      <c r="B984" s="458"/>
      <c r="C984" s="458"/>
      <c r="D984" s="458"/>
      <c r="E984" s="458"/>
      <c r="F984" s="458"/>
      <c r="G984" s="458"/>
      <c r="H984" s="458"/>
      <c r="I984" s="458"/>
      <c r="J984" s="458"/>
      <c r="K984" s="458"/>
      <c r="L984" s="458"/>
      <c r="M984" s="458"/>
      <c r="N984" s="458"/>
      <c r="O984" s="458"/>
      <c r="P984" s="458"/>
      <c r="Q984" s="458"/>
      <c r="R984" s="458"/>
      <c r="S984" s="458"/>
      <c r="T984" s="458"/>
      <c r="U984" s="458"/>
      <c r="V984" s="458"/>
      <c r="W984" s="458"/>
    </row>
    <row r="985" spans="1:23" ht="15.75" customHeight="1">
      <c r="A985" s="458"/>
      <c r="B985" s="458"/>
      <c r="C985" s="458"/>
      <c r="D985" s="458"/>
      <c r="E985" s="458"/>
      <c r="F985" s="458"/>
      <c r="G985" s="458"/>
      <c r="H985" s="458"/>
      <c r="I985" s="458"/>
      <c r="J985" s="458"/>
      <c r="K985" s="458"/>
      <c r="L985" s="458"/>
      <c r="M985" s="458"/>
      <c r="N985" s="458"/>
      <c r="O985" s="458"/>
      <c r="P985" s="458"/>
      <c r="Q985" s="458"/>
      <c r="R985" s="458"/>
      <c r="S985" s="458"/>
      <c r="T985" s="458"/>
      <c r="U985" s="458"/>
      <c r="V985" s="458"/>
      <c r="W985" s="458"/>
    </row>
    <row r="986" spans="1:23" ht="15.75" customHeight="1">
      <c r="A986" s="458"/>
      <c r="B986" s="458"/>
      <c r="C986" s="458"/>
      <c r="D986" s="458"/>
      <c r="E986" s="458"/>
      <c r="F986" s="458"/>
      <c r="G986" s="458"/>
      <c r="H986" s="458"/>
      <c r="I986" s="458"/>
      <c r="J986" s="458"/>
      <c r="K986" s="458"/>
      <c r="L986" s="458"/>
      <c r="M986" s="458"/>
      <c r="N986" s="458"/>
      <c r="O986" s="458"/>
      <c r="P986" s="458"/>
      <c r="Q986" s="458"/>
      <c r="R986" s="458"/>
      <c r="S986" s="458"/>
      <c r="T986" s="458"/>
      <c r="U986" s="458"/>
      <c r="V986" s="458"/>
      <c r="W986" s="458"/>
    </row>
    <row r="987" spans="1:23" ht="15.75" customHeight="1">
      <c r="A987" s="458"/>
      <c r="B987" s="458"/>
      <c r="C987" s="458"/>
      <c r="D987" s="458"/>
      <c r="E987" s="458"/>
      <c r="F987" s="458"/>
      <c r="G987" s="458"/>
      <c r="H987" s="458"/>
      <c r="I987" s="458"/>
      <c r="J987" s="458"/>
      <c r="K987" s="458"/>
      <c r="L987" s="458"/>
      <c r="M987" s="458"/>
      <c r="N987" s="458"/>
      <c r="O987" s="458"/>
      <c r="P987" s="458"/>
      <c r="Q987" s="458"/>
      <c r="R987" s="458"/>
      <c r="S987" s="458"/>
      <c r="T987" s="458"/>
      <c r="U987" s="458"/>
      <c r="V987" s="458"/>
      <c r="W987" s="458"/>
    </row>
    <row r="988" spans="1:23" ht="15.75" customHeight="1">
      <c r="A988" s="458"/>
      <c r="B988" s="458"/>
      <c r="C988" s="458"/>
      <c r="D988" s="458"/>
      <c r="E988" s="458"/>
      <c r="F988" s="458"/>
      <c r="G988" s="458"/>
      <c r="H988" s="458"/>
      <c r="I988" s="458"/>
      <c r="J988" s="458"/>
      <c r="K988" s="458"/>
      <c r="L988" s="458"/>
      <c r="M988" s="458"/>
      <c r="N988" s="458"/>
      <c r="O988" s="458"/>
      <c r="P988" s="458"/>
      <c r="Q988" s="458"/>
      <c r="R988" s="458"/>
      <c r="S988" s="458"/>
      <c r="T988" s="458"/>
      <c r="U988" s="458"/>
      <c r="V988" s="458"/>
      <c r="W988" s="458"/>
    </row>
    <row r="989" spans="1:23" ht="15.75" customHeight="1">
      <c r="A989" s="458"/>
      <c r="B989" s="458"/>
      <c r="C989" s="458"/>
      <c r="D989" s="458"/>
      <c r="E989" s="458"/>
      <c r="F989" s="458"/>
      <c r="G989" s="458"/>
      <c r="H989" s="458"/>
      <c r="I989" s="458"/>
      <c r="J989" s="458"/>
      <c r="K989" s="458"/>
      <c r="L989" s="458"/>
      <c r="M989" s="458"/>
      <c r="N989" s="458"/>
      <c r="O989" s="458"/>
      <c r="P989" s="458"/>
      <c r="Q989" s="458"/>
      <c r="R989" s="458"/>
      <c r="S989" s="458"/>
      <c r="T989" s="458"/>
      <c r="U989" s="458"/>
      <c r="V989" s="458"/>
      <c r="W989" s="458"/>
    </row>
    <row r="990" spans="1:23" ht="15.75" customHeight="1">
      <c r="A990" s="458"/>
      <c r="B990" s="458"/>
      <c r="C990" s="458"/>
      <c r="D990" s="458"/>
      <c r="E990" s="458"/>
      <c r="F990" s="458"/>
      <c r="G990" s="458"/>
      <c r="H990" s="458"/>
      <c r="I990" s="458"/>
      <c r="J990" s="458"/>
      <c r="K990" s="458"/>
      <c r="L990" s="458"/>
      <c r="M990" s="458"/>
      <c r="N990" s="458"/>
      <c r="O990" s="458"/>
      <c r="P990" s="458"/>
      <c r="Q990" s="458"/>
      <c r="R990" s="458"/>
      <c r="S990" s="458"/>
      <c r="T990" s="458"/>
      <c r="U990" s="458"/>
      <c r="V990" s="458"/>
      <c r="W990" s="458"/>
    </row>
    <row r="991" spans="1:23" ht="15.75" customHeight="1">
      <c r="A991" s="458"/>
      <c r="B991" s="458"/>
      <c r="C991" s="458"/>
      <c r="D991" s="458"/>
      <c r="E991" s="458"/>
      <c r="F991" s="458"/>
      <c r="G991" s="458"/>
      <c r="H991" s="458"/>
      <c r="I991" s="458"/>
      <c r="J991" s="458"/>
      <c r="K991" s="458"/>
      <c r="L991" s="458"/>
      <c r="M991" s="458"/>
      <c r="N991" s="458"/>
      <c r="O991" s="458"/>
      <c r="P991" s="458"/>
      <c r="Q991" s="458"/>
      <c r="R991" s="458"/>
      <c r="S991" s="458"/>
      <c r="T991" s="458"/>
      <c r="U991" s="458"/>
      <c r="V991" s="458"/>
      <c r="W991" s="458"/>
    </row>
    <row r="992" spans="1:23" ht="15.75" customHeight="1">
      <c r="A992" s="458"/>
      <c r="B992" s="458"/>
      <c r="C992" s="458"/>
      <c r="D992" s="458"/>
      <c r="E992" s="458"/>
      <c r="F992" s="458"/>
      <c r="G992" s="458"/>
      <c r="H992" s="458"/>
      <c r="I992" s="458"/>
      <c r="J992" s="458"/>
      <c r="K992" s="458"/>
      <c r="L992" s="458"/>
      <c r="M992" s="458"/>
      <c r="N992" s="458"/>
      <c r="O992" s="458"/>
      <c r="P992" s="458"/>
      <c r="Q992" s="458"/>
      <c r="R992" s="458"/>
      <c r="S992" s="458"/>
      <c r="T992" s="458"/>
      <c r="U992" s="458"/>
      <c r="V992" s="458"/>
      <c r="W992" s="458"/>
    </row>
    <row r="993" spans="1:23" ht="15.75" customHeight="1">
      <c r="A993" s="458"/>
      <c r="B993" s="458"/>
      <c r="C993" s="458"/>
      <c r="D993" s="458"/>
      <c r="E993" s="458"/>
      <c r="F993" s="458"/>
      <c r="G993" s="458"/>
      <c r="H993" s="458"/>
      <c r="I993" s="458"/>
      <c r="J993" s="458"/>
      <c r="K993" s="458"/>
      <c r="L993" s="458"/>
      <c r="M993" s="458"/>
      <c r="N993" s="458"/>
      <c r="O993" s="458"/>
      <c r="P993" s="458"/>
      <c r="Q993" s="458"/>
      <c r="R993" s="458"/>
      <c r="S993" s="458"/>
      <c r="T993" s="458"/>
      <c r="U993" s="458"/>
      <c r="V993" s="458"/>
      <c r="W993" s="458"/>
    </row>
    <row r="994" spans="1:23" ht="15.75" customHeight="1">
      <c r="A994" s="458"/>
      <c r="B994" s="458"/>
      <c r="C994" s="458"/>
      <c r="D994" s="458"/>
      <c r="E994" s="458"/>
      <c r="F994" s="458"/>
      <c r="G994" s="458"/>
      <c r="H994" s="458"/>
      <c r="I994" s="458"/>
      <c r="J994" s="458"/>
      <c r="K994" s="458"/>
      <c r="L994" s="458"/>
      <c r="M994" s="458"/>
      <c r="N994" s="458"/>
      <c r="O994" s="458"/>
      <c r="P994" s="458"/>
      <c r="Q994" s="458"/>
      <c r="R994" s="458"/>
      <c r="S994" s="458"/>
      <c r="T994" s="458"/>
      <c r="U994" s="458"/>
      <c r="V994" s="458"/>
      <c r="W994" s="458"/>
    </row>
    <row r="995" spans="1:23" ht="15.75" customHeight="1">
      <c r="A995" s="458"/>
      <c r="B995" s="458"/>
      <c r="C995" s="458"/>
      <c r="D995" s="458"/>
      <c r="E995" s="458"/>
      <c r="F995" s="458"/>
      <c r="G995" s="458"/>
      <c r="H995" s="458"/>
      <c r="I995" s="458"/>
      <c r="J995" s="458"/>
      <c r="K995" s="458"/>
      <c r="L995" s="458"/>
      <c r="M995" s="458"/>
      <c r="N995" s="458"/>
      <c r="O995" s="458"/>
      <c r="P995" s="458"/>
      <c r="Q995" s="458"/>
      <c r="R995" s="458"/>
      <c r="S995" s="458"/>
      <c r="T995" s="458"/>
      <c r="U995" s="458"/>
      <c r="V995" s="458"/>
      <c r="W995" s="458"/>
    </row>
    <row r="996" spans="1:23" ht="15.75" customHeight="1">
      <c r="A996" s="458"/>
      <c r="B996" s="458"/>
      <c r="C996" s="458"/>
      <c r="D996" s="458"/>
      <c r="E996" s="458"/>
      <c r="F996" s="458"/>
      <c r="G996" s="458"/>
      <c r="H996" s="458"/>
      <c r="I996" s="458"/>
      <c r="J996" s="458"/>
      <c r="K996" s="458"/>
      <c r="L996" s="458"/>
      <c r="M996" s="458"/>
      <c r="N996" s="458"/>
      <c r="O996" s="458"/>
      <c r="P996" s="458"/>
      <c r="Q996" s="458"/>
      <c r="R996" s="458"/>
      <c r="S996" s="458"/>
      <c r="T996" s="458"/>
      <c r="U996" s="458"/>
      <c r="V996" s="458"/>
      <c r="W996" s="458"/>
    </row>
    <row r="997" spans="1:23" ht="15.75" customHeight="1">
      <c r="A997" s="458"/>
      <c r="B997" s="458"/>
      <c r="C997" s="458"/>
      <c r="D997" s="458"/>
      <c r="E997" s="458"/>
      <c r="F997" s="458"/>
      <c r="G997" s="458"/>
      <c r="H997" s="458"/>
      <c r="I997" s="458"/>
      <c r="J997" s="458"/>
      <c r="K997" s="458"/>
      <c r="L997" s="458"/>
      <c r="M997" s="458"/>
      <c r="N997" s="458"/>
      <c r="O997" s="458"/>
      <c r="P997" s="458"/>
      <c r="Q997" s="458"/>
      <c r="R997" s="458"/>
      <c r="S997" s="458"/>
      <c r="T997" s="458"/>
      <c r="U997" s="458"/>
      <c r="V997" s="458"/>
      <c r="W997" s="458"/>
    </row>
    <row r="998" spans="1:23" ht="15.75" customHeight="1">
      <c r="A998" s="458"/>
      <c r="B998" s="458"/>
      <c r="C998" s="458"/>
      <c r="D998" s="458"/>
      <c r="E998" s="458"/>
      <c r="F998" s="458"/>
      <c r="G998" s="458"/>
      <c r="H998" s="458"/>
      <c r="I998" s="458"/>
      <c r="J998" s="458"/>
      <c r="K998" s="458"/>
      <c r="L998" s="458"/>
      <c r="M998" s="458"/>
      <c r="N998" s="458"/>
      <c r="O998" s="458"/>
      <c r="P998" s="458"/>
      <c r="Q998" s="458"/>
      <c r="R998" s="458"/>
      <c r="S998" s="458"/>
      <c r="T998" s="458"/>
      <c r="U998" s="458"/>
      <c r="V998" s="458"/>
      <c r="W998" s="458"/>
    </row>
    <row r="999" spans="1:23" ht="15.75" customHeight="1">
      <c r="A999" s="458"/>
      <c r="B999" s="458"/>
      <c r="C999" s="458"/>
      <c r="D999" s="458"/>
      <c r="E999" s="458"/>
      <c r="F999" s="458"/>
      <c r="G999" s="458"/>
      <c r="H999" s="458"/>
      <c r="I999" s="458"/>
      <c r="J999" s="458"/>
      <c r="K999" s="458"/>
      <c r="L999" s="458"/>
      <c r="M999" s="458"/>
      <c r="N999" s="458"/>
      <c r="O999" s="458"/>
      <c r="P999" s="458"/>
      <c r="Q999" s="458"/>
      <c r="R999" s="458"/>
      <c r="S999" s="458"/>
      <c r="T999" s="458"/>
      <c r="U999" s="458"/>
      <c r="V999" s="458"/>
      <c r="W999" s="458"/>
    </row>
    <row r="1000" spans="1:23" ht="15.75" customHeight="1">
      <c r="A1000" s="458"/>
      <c r="B1000" s="458"/>
      <c r="C1000" s="458"/>
      <c r="D1000" s="458"/>
      <c r="E1000" s="458"/>
      <c r="F1000" s="458"/>
      <c r="G1000" s="458"/>
      <c r="H1000" s="458"/>
      <c r="I1000" s="458"/>
      <c r="J1000" s="458"/>
      <c r="K1000" s="458"/>
      <c r="L1000" s="458"/>
      <c r="M1000" s="458"/>
      <c r="N1000" s="458"/>
      <c r="O1000" s="458"/>
      <c r="P1000" s="458"/>
      <c r="Q1000" s="458"/>
      <c r="R1000" s="458"/>
      <c r="S1000" s="458"/>
      <c r="T1000" s="458"/>
      <c r="U1000" s="458"/>
      <c r="V1000" s="458"/>
      <c r="W1000" s="458"/>
    </row>
  </sheetData>
  <mergeCells count="6">
    <mergeCell ref="M48:M49"/>
    <mergeCell ref="G13:I13"/>
    <mergeCell ref="C38:C39"/>
    <mergeCell ref="D38:D39"/>
    <mergeCell ref="E48:E49"/>
    <mergeCell ref="G48:G49"/>
  </mergeCells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000"/>
  <sheetViews>
    <sheetView workbookViewId="0">
      <selection activeCell="I22" sqref="I22"/>
    </sheetView>
  </sheetViews>
  <sheetFormatPr defaultColWidth="14.42578125" defaultRowHeight="15" customHeight="1"/>
  <cols>
    <col min="1" max="1" width="8.85546875" style="456" customWidth="1"/>
    <col min="2" max="2" width="52.28515625" style="456" bestFit="1" customWidth="1"/>
    <col min="3" max="3" width="8.85546875" style="456" customWidth="1"/>
    <col min="4" max="4" width="13.28515625" style="456" bestFit="1" customWidth="1"/>
    <col min="5" max="5" width="14" style="456" customWidth="1"/>
    <col min="6" max="7" width="13.42578125" style="456" customWidth="1"/>
    <col min="8" max="8" width="14" style="456" customWidth="1"/>
    <col min="9" max="9" width="13" style="456" customWidth="1"/>
    <col min="10" max="10" width="9.5703125" style="456" customWidth="1"/>
    <col min="11" max="11" width="12" style="456" customWidth="1"/>
    <col min="12" max="12" width="10.42578125" style="456" customWidth="1"/>
    <col min="13" max="13" width="11.5703125" style="456" customWidth="1"/>
    <col min="14" max="23" width="11.42578125" style="456" customWidth="1"/>
    <col min="24" max="16384" width="14.42578125" style="456"/>
  </cols>
  <sheetData>
    <row r="1" spans="1:23" ht="23.25">
      <c r="A1" s="454" t="s">
        <v>538</v>
      </c>
      <c r="B1" s="455"/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</row>
    <row r="2" spans="1:23">
      <c r="A2" s="457" t="str">
        <f>"(In "&amp;F10&amp;" Millions Except Per Share Data)"</f>
        <v>(In USD Millions Except Per Share Data)</v>
      </c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</row>
    <row r="3" spans="1:23" ht="15.75" thickBot="1">
      <c r="A3" s="458"/>
      <c r="B3" s="458"/>
      <c r="C3" s="458"/>
      <c r="D3" s="458"/>
      <c r="E3" s="458"/>
      <c r="F3" s="458"/>
      <c r="G3" s="458"/>
      <c r="H3" s="458"/>
      <c r="I3" s="458"/>
      <c r="J3" s="469"/>
      <c r="K3" s="458"/>
      <c r="L3" s="458"/>
      <c r="M3" s="458"/>
      <c r="N3" s="458"/>
      <c r="O3" s="458"/>
      <c r="P3" s="458"/>
      <c r="Q3" s="458"/>
      <c r="R3" s="458"/>
      <c r="S3" s="458"/>
      <c r="T3" s="458"/>
      <c r="U3" s="458"/>
      <c r="V3" s="458"/>
      <c r="W3" s="458"/>
    </row>
    <row r="4" spans="1:23">
      <c r="A4" s="459" t="s">
        <v>430</v>
      </c>
      <c r="B4" s="460"/>
      <c r="C4" s="460"/>
      <c r="D4" s="460"/>
      <c r="E4" s="460"/>
      <c r="F4" s="461"/>
      <c r="G4" s="458"/>
      <c r="H4" s="470"/>
      <c r="I4" s="458"/>
      <c r="J4" s="458"/>
      <c r="K4" s="458"/>
      <c r="L4" s="458"/>
      <c r="M4" s="458"/>
      <c r="N4" s="458"/>
      <c r="O4" s="458"/>
      <c r="P4" s="458"/>
      <c r="Q4" s="458"/>
      <c r="R4" s="458"/>
      <c r="S4" s="458"/>
      <c r="T4" s="458"/>
      <c r="U4" s="458"/>
      <c r="V4" s="458"/>
      <c r="W4" s="458"/>
    </row>
    <row r="5" spans="1:23">
      <c r="A5" s="462" t="s">
        <v>431</v>
      </c>
      <c r="B5" s="458"/>
      <c r="C5" s="458"/>
      <c r="D5" s="458"/>
      <c r="E5" s="458"/>
      <c r="F5" s="463" t="s">
        <v>432</v>
      </c>
      <c r="G5" s="458"/>
      <c r="H5" s="470"/>
      <c r="I5" s="458"/>
      <c r="J5" s="458"/>
      <c r="K5" s="458"/>
      <c r="L5" s="458"/>
      <c r="M5" s="458"/>
      <c r="N5" s="458"/>
      <c r="O5" s="458"/>
      <c r="P5" s="458"/>
      <c r="Q5" s="458"/>
      <c r="R5" s="458"/>
      <c r="S5" s="458"/>
      <c r="T5" s="458"/>
      <c r="U5" s="458"/>
      <c r="V5" s="458"/>
      <c r="W5" s="458"/>
    </row>
    <row r="6" spans="1:23">
      <c r="A6" s="462" t="s">
        <v>433</v>
      </c>
      <c r="B6" s="458"/>
      <c r="C6" s="458"/>
      <c r="D6" s="458"/>
      <c r="E6" s="458"/>
      <c r="F6" s="464">
        <v>45739</v>
      </c>
      <c r="G6" s="458"/>
      <c r="H6" s="470"/>
      <c r="I6" s="458"/>
      <c r="J6" s="458"/>
      <c r="K6" s="458"/>
      <c r="L6" s="458"/>
      <c r="M6" s="458"/>
      <c r="N6" s="458"/>
      <c r="O6" s="458"/>
      <c r="P6" s="458"/>
      <c r="Q6" s="458"/>
      <c r="R6" s="458"/>
      <c r="S6" s="458"/>
      <c r="T6" s="458"/>
      <c r="U6" s="458"/>
      <c r="V6" s="458"/>
      <c r="W6" s="458"/>
    </row>
    <row r="7" spans="1:23">
      <c r="A7" s="462" t="s">
        <v>434</v>
      </c>
      <c r="B7" s="458"/>
      <c r="C7" s="458"/>
      <c r="D7" s="458"/>
      <c r="E7" s="458"/>
      <c r="F7" s="464">
        <v>45739</v>
      </c>
      <c r="G7" s="458"/>
      <c r="H7" s="470"/>
      <c r="I7" s="458"/>
      <c r="J7" s="458"/>
      <c r="K7" s="458"/>
      <c r="L7" s="458"/>
      <c r="M7" s="458"/>
      <c r="N7" s="458"/>
      <c r="O7" s="458"/>
      <c r="P7" s="458"/>
      <c r="Q7" s="458"/>
      <c r="R7" s="458"/>
      <c r="S7" s="458"/>
      <c r="T7" s="458"/>
      <c r="U7" s="458"/>
      <c r="V7" s="458"/>
      <c r="W7" s="458"/>
    </row>
    <row r="8" spans="1:23">
      <c r="A8" s="462" t="s">
        <v>435</v>
      </c>
      <c r="B8" s="458"/>
      <c r="C8" s="458"/>
      <c r="D8" s="458"/>
      <c r="E8" s="458"/>
      <c r="F8" s="465">
        <v>45657</v>
      </c>
      <c r="G8" s="458"/>
      <c r="H8" s="470"/>
      <c r="I8" s="458"/>
      <c r="J8" s="458"/>
      <c r="K8" s="458"/>
      <c r="L8" s="458"/>
      <c r="M8" s="458"/>
      <c r="N8" s="458"/>
      <c r="O8" s="458"/>
      <c r="P8" s="458"/>
      <c r="Q8" s="458"/>
      <c r="R8" s="458"/>
      <c r="S8" s="458"/>
      <c r="T8" s="458"/>
      <c r="U8" s="458"/>
      <c r="V8" s="458"/>
      <c r="W8" s="458"/>
    </row>
    <row r="9" spans="1:23">
      <c r="A9" s="462" t="s">
        <v>436</v>
      </c>
      <c r="B9" s="458"/>
      <c r="C9" s="458"/>
      <c r="D9" s="458"/>
      <c r="E9" s="458"/>
      <c r="F9" s="465">
        <f>F8</f>
        <v>45657</v>
      </c>
      <c r="G9" s="458"/>
      <c r="H9" s="470"/>
      <c r="I9" s="458"/>
      <c r="J9" s="458"/>
      <c r="K9" s="458"/>
      <c r="L9" s="458"/>
      <c r="M9" s="458"/>
      <c r="N9" s="458"/>
      <c r="O9" s="458"/>
      <c r="P9" s="458"/>
      <c r="Q9" s="458"/>
      <c r="R9" s="458"/>
      <c r="S9" s="458"/>
      <c r="T9" s="458"/>
      <c r="U9" s="458"/>
      <c r="V9" s="458"/>
      <c r="W9" s="458"/>
    </row>
    <row r="10" spans="1:23">
      <c r="A10" s="462" t="s">
        <v>437</v>
      </c>
      <c r="B10" s="458"/>
      <c r="C10" s="458"/>
      <c r="D10" s="458"/>
      <c r="E10" s="458"/>
      <c r="F10" s="463" t="s">
        <v>438</v>
      </c>
      <c r="G10" s="458"/>
      <c r="H10" s="470"/>
      <c r="I10" s="458"/>
      <c r="J10" s="458"/>
      <c r="K10" s="458"/>
      <c r="L10" s="458"/>
      <c r="M10" s="458"/>
      <c r="N10" s="458"/>
      <c r="O10" s="458"/>
      <c r="P10" s="458"/>
      <c r="Q10" s="458"/>
      <c r="R10" s="458"/>
      <c r="S10" s="458"/>
      <c r="T10" s="458"/>
      <c r="U10" s="458"/>
      <c r="V10" s="458"/>
      <c r="W10" s="458"/>
    </row>
    <row r="11" spans="1:23" ht="15.75" thickBot="1">
      <c r="A11" s="466" t="s">
        <v>252</v>
      </c>
      <c r="B11" s="467"/>
      <c r="C11" s="467"/>
      <c r="D11" s="467"/>
      <c r="E11" s="467"/>
      <c r="F11" s="468">
        <v>0.21</v>
      </c>
      <c r="G11" s="458"/>
      <c r="H11" s="458"/>
      <c r="I11" s="553"/>
      <c r="J11" s="458"/>
      <c r="K11" s="458"/>
      <c r="L11" s="458"/>
      <c r="M11" s="458"/>
      <c r="N11" s="458"/>
      <c r="O11" s="458"/>
      <c r="P11" s="458"/>
      <c r="Q11" s="458"/>
      <c r="R11" s="458"/>
      <c r="S11" s="458"/>
      <c r="T11" s="458"/>
      <c r="U11" s="458"/>
      <c r="V11" s="458"/>
      <c r="W11" s="458"/>
    </row>
    <row r="12" spans="1:23">
      <c r="A12" s="458"/>
      <c r="B12" s="458"/>
      <c r="C12" s="458"/>
      <c r="D12" s="458"/>
      <c r="E12" s="458"/>
      <c r="F12" s="458"/>
      <c r="G12" s="458"/>
      <c r="H12" s="458"/>
      <c r="I12" s="458"/>
      <c r="J12" s="458"/>
      <c r="K12" s="458"/>
      <c r="L12" s="458"/>
      <c r="M12" s="458"/>
      <c r="N12" s="458"/>
      <c r="O12" s="458"/>
      <c r="P12" s="458"/>
      <c r="Q12" s="458"/>
      <c r="R12" s="458"/>
      <c r="S12" s="458"/>
      <c r="T12" s="458"/>
      <c r="U12" s="458"/>
      <c r="V12" s="458"/>
      <c r="W12" s="458"/>
    </row>
    <row r="13" spans="1:23" ht="15.75" thickBot="1">
      <c r="A13" s="458"/>
      <c r="B13" s="458"/>
      <c r="C13" s="458"/>
      <c r="D13" s="458"/>
      <c r="E13" s="458"/>
      <c r="F13" s="458"/>
      <c r="G13" s="813"/>
      <c r="H13" s="812"/>
      <c r="I13" s="812"/>
      <c r="J13" s="458"/>
      <c r="K13" s="458"/>
      <c r="L13" s="458"/>
      <c r="M13" s="458"/>
      <c r="N13" s="458"/>
      <c r="O13" s="458"/>
      <c r="P13" s="458"/>
      <c r="Q13" s="458"/>
      <c r="R13" s="458"/>
      <c r="S13" s="458"/>
      <c r="T13" s="458"/>
      <c r="U13" s="458"/>
      <c r="V13" s="458"/>
      <c r="W13" s="458"/>
    </row>
    <row r="14" spans="1:23" ht="15.75" thickBot="1">
      <c r="A14" s="471" t="s">
        <v>439</v>
      </c>
      <c r="B14" s="472"/>
      <c r="C14" s="473" t="s">
        <v>440</v>
      </c>
      <c r="D14" s="473" t="s">
        <v>441</v>
      </c>
      <c r="E14" s="473" t="s">
        <v>442</v>
      </c>
      <c r="F14" s="474"/>
      <c r="G14" s="458"/>
      <c r="H14" s="488"/>
      <c r="I14" s="488"/>
      <c r="J14" s="458"/>
      <c r="K14" s="458"/>
      <c r="L14" s="458"/>
      <c r="M14" s="458"/>
      <c r="N14" s="458"/>
      <c r="O14" s="458"/>
      <c r="P14" s="458"/>
      <c r="Q14" s="458"/>
      <c r="R14" s="458"/>
      <c r="S14" s="458"/>
      <c r="T14" s="458"/>
      <c r="U14" s="458"/>
      <c r="V14" s="458"/>
      <c r="W14" s="458"/>
    </row>
    <row r="15" spans="1:23">
      <c r="A15" s="462" t="s">
        <v>443</v>
      </c>
      <c r="B15" s="458"/>
      <c r="C15" s="550">
        <v>26.67</v>
      </c>
      <c r="D15" s="477"/>
      <c r="E15" s="477"/>
      <c r="F15" s="475"/>
      <c r="G15" s="476"/>
      <c r="H15" s="458"/>
      <c r="I15" s="458"/>
      <c r="J15" s="458"/>
      <c r="K15" s="458"/>
      <c r="L15" s="458"/>
      <c r="M15" s="458"/>
      <c r="N15" s="458"/>
      <c r="O15" s="458"/>
      <c r="P15" s="458"/>
      <c r="Q15" s="458"/>
      <c r="R15" s="458"/>
      <c r="S15" s="458"/>
      <c r="T15" s="458"/>
      <c r="U15" s="458"/>
      <c r="V15" s="458"/>
      <c r="W15" s="458"/>
    </row>
    <row r="16" spans="1:23">
      <c r="A16" s="462" t="s">
        <v>444</v>
      </c>
      <c r="B16" s="458"/>
      <c r="C16" s="616">
        <v>1003</v>
      </c>
      <c r="D16" s="477"/>
      <c r="E16" s="477"/>
      <c r="F16" s="478"/>
      <c r="G16" s="458"/>
      <c r="H16" s="458"/>
      <c r="I16" s="458"/>
      <c r="J16" s="458"/>
      <c r="K16" s="458"/>
      <c r="L16" s="458"/>
      <c r="M16" s="458"/>
      <c r="N16" s="458"/>
      <c r="O16" s="458"/>
      <c r="P16" s="458"/>
      <c r="Q16" s="458"/>
      <c r="R16" s="458"/>
      <c r="S16" s="458"/>
      <c r="T16" s="458"/>
      <c r="U16" s="458"/>
      <c r="V16" s="458"/>
      <c r="W16" s="458"/>
    </row>
    <row r="17" spans="1:23" ht="15.75" thickBot="1">
      <c r="A17" s="462" t="s">
        <v>445</v>
      </c>
      <c r="B17" s="458"/>
      <c r="C17" s="479">
        <f>C16+I45+G53</f>
        <v>1171.6339032620922</v>
      </c>
      <c r="D17" s="479"/>
      <c r="E17" s="479"/>
      <c r="F17" s="478"/>
      <c r="G17" s="458"/>
      <c r="H17" s="481"/>
      <c r="I17" s="458"/>
      <c r="J17" s="458"/>
      <c r="K17" s="458"/>
      <c r="L17" s="458"/>
      <c r="M17" s="458"/>
      <c r="N17" s="458"/>
      <c r="O17" s="458"/>
      <c r="P17" s="458"/>
      <c r="Q17" s="458"/>
      <c r="R17" s="458"/>
      <c r="S17" s="458"/>
      <c r="T17" s="458"/>
      <c r="U17" s="458"/>
      <c r="V17" s="458"/>
      <c r="W17" s="458"/>
    </row>
    <row r="18" spans="1:23" ht="15.75" thickBot="1">
      <c r="A18" s="462" t="s">
        <v>202</v>
      </c>
      <c r="B18" s="458"/>
      <c r="C18" s="479">
        <f>C17*C15</f>
        <v>31247.476200000001</v>
      </c>
      <c r="D18" s="479"/>
      <c r="E18" s="479"/>
      <c r="F18" s="480">
        <f>C18+D18+E18</f>
        <v>31247.476200000001</v>
      </c>
      <c r="G18" s="458"/>
      <c r="H18" s="458"/>
      <c r="I18" s="481"/>
      <c r="J18" s="458"/>
      <c r="K18" s="458"/>
      <c r="L18" s="458"/>
      <c r="M18" s="458"/>
      <c r="N18" s="458"/>
      <c r="O18" s="458"/>
      <c r="P18" s="458"/>
      <c r="Q18" s="458"/>
      <c r="R18" s="458"/>
      <c r="S18" s="458"/>
      <c r="T18" s="458"/>
      <c r="U18" s="458"/>
      <c r="V18" s="458"/>
      <c r="W18" s="458"/>
    </row>
    <row r="19" spans="1:23">
      <c r="A19" s="462" t="s">
        <v>446</v>
      </c>
      <c r="B19" s="458"/>
      <c r="C19" s="458"/>
      <c r="D19" s="481"/>
      <c r="E19" s="481"/>
      <c r="F19" s="482">
        <f>14788/1000000</f>
        <v>1.4788000000000001E-2</v>
      </c>
      <c r="G19" s="458"/>
      <c r="H19" s="481"/>
      <c r="I19" s="481"/>
      <c r="J19" s="458"/>
      <c r="K19" s="458"/>
      <c r="L19" s="458"/>
      <c r="M19" s="458"/>
      <c r="N19" s="458"/>
      <c r="O19" s="458"/>
      <c r="P19" s="458"/>
      <c r="Q19" s="458"/>
      <c r="R19" s="458"/>
      <c r="S19" s="458"/>
      <c r="T19" s="458"/>
      <c r="U19" s="458"/>
      <c r="V19" s="458"/>
      <c r="W19" s="458"/>
    </row>
    <row r="20" spans="1:23">
      <c r="A20" s="483" t="s">
        <v>447</v>
      </c>
      <c r="B20" s="458"/>
      <c r="C20" s="458"/>
      <c r="D20" s="481"/>
      <c r="E20" s="481"/>
      <c r="F20" s="484">
        <f>E21+E22</f>
        <v>0</v>
      </c>
      <c r="G20" s="458"/>
      <c r="H20" s="481"/>
      <c r="I20" s="481"/>
      <c r="J20" s="458"/>
      <c r="K20" s="458"/>
      <c r="L20" s="458"/>
      <c r="M20" s="458"/>
      <c r="N20" s="458"/>
      <c r="O20" s="458"/>
      <c r="P20" s="458"/>
      <c r="Q20" s="458"/>
      <c r="R20" s="458"/>
      <c r="S20" s="458"/>
      <c r="T20" s="458"/>
      <c r="U20" s="458"/>
      <c r="V20" s="458"/>
      <c r="W20" s="458"/>
    </row>
    <row r="21" spans="1:23" ht="15.75" customHeight="1">
      <c r="A21" s="462"/>
      <c r="B21" s="458" t="s">
        <v>448</v>
      </c>
      <c r="C21" s="458"/>
      <c r="D21" s="458"/>
      <c r="E21" s="485">
        <v>0</v>
      </c>
      <c r="F21" s="478"/>
      <c r="G21" s="458"/>
      <c r="H21" s="458"/>
      <c r="I21" s="458"/>
      <c r="J21" s="458"/>
      <c r="K21" s="458"/>
      <c r="L21" s="458"/>
      <c r="M21" s="458"/>
      <c r="N21" s="458"/>
      <c r="O21" s="458"/>
      <c r="P21" s="458"/>
      <c r="Q21" s="458"/>
      <c r="R21" s="458"/>
      <c r="S21" s="458"/>
      <c r="T21" s="458"/>
      <c r="U21" s="458"/>
      <c r="V21" s="458"/>
      <c r="W21" s="458"/>
    </row>
    <row r="22" spans="1:23" ht="15.75" customHeight="1">
      <c r="A22" s="462"/>
      <c r="B22" s="486" t="s">
        <v>449</v>
      </c>
      <c r="C22" s="458"/>
      <c r="D22" s="458"/>
      <c r="E22" s="487">
        <v>0</v>
      </c>
      <c r="F22" s="478"/>
      <c r="G22" s="458"/>
      <c r="H22" s="458"/>
      <c r="I22" s="481" t="s">
        <v>514</v>
      </c>
      <c r="J22" s="469">
        <v>5.8000000000000003E-2</v>
      </c>
      <c r="K22" s="458"/>
      <c r="L22" s="458"/>
      <c r="M22" s="458"/>
      <c r="N22" s="458"/>
      <c r="O22" s="458"/>
      <c r="P22" s="458"/>
      <c r="Q22" s="458"/>
      <c r="R22" s="458"/>
      <c r="S22" s="458"/>
      <c r="T22" s="458"/>
      <c r="U22" s="458"/>
      <c r="V22" s="458"/>
      <c r="W22" s="458"/>
    </row>
    <row r="23" spans="1:23" ht="15.75" customHeight="1">
      <c r="A23" s="483" t="s">
        <v>450</v>
      </c>
      <c r="B23" s="458"/>
      <c r="C23" s="458"/>
      <c r="D23" s="458"/>
      <c r="E23" s="481"/>
      <c r="F23" s="484">
        <f>E24+E25</f>
        <v>2063</v>
      </c>
      <c r="G23" s="458"/>
      <c r="H23" s="481"/>
      <c r="I23" s="617">
        <v>45394</v>
      </c>
      <c r="J23" s="458">
        <v>195.1</v>
      </c>
      <c r="K23" s="458"/>
      <c r="L23" s="458"/>
      <c r="M23" s="458"/>
      <c r="N23" s="458"/>
      <c r="O23" s="458"/>
      <c r="P23" s="458"/>
      <c r="Q23" s="458"/>
      <c r="R23" s="458"/>
      <c r="S23" s="458"/>
      <c r="T23" s="458"/>
      <c r="U23" s="458"/>
      <c r="V23" s="458"/>
      <c r="W23" s="458"/>
    </row>
    <row r="24" spans="1:23" ht="15" customHeight="1">
      <c r="A24" s="462"/>
      <c r="B24" s="486" t="s">
        <v>451</v>
      </c>
      <c r="C24" s="486"/>
      <c r="D24" s="458"/>
      <c r="E24" s="485">
        <v>1230</v>
      </c>
      <c r="F24" s="478"/>
      <c r="G24" s="458"/>
      <c r="H24" s="458"/>
      <c r="I24" s="618">
        <v>45743</v>
      </c>
      <c r="J24" s="456">
        <v>0</v>
      </c>
      <c r="K24" s="458"/>
      <c r="L24" s="458"/>
      <c r="M24" s="458"/>
      <c r="N24" s="458"/>
      <c r="O24" s="458"/>
      <c r="P24" s="458"/>
      <c r="Q24" s="458"/>
      <c r="R24" s="458"/>
      <c r="S24" s="458"/>
      <c r="T24" s="458"/>
      <c r="U24" s="458"/>
      <c r="V24" s="458"/>
      <c r="W24" s="458"/>
    </row>
    <row r="25" spans="1:23" ht="15" customHeight="1">
      <c r="A25" s="462"/>
      <c r="B25" s="486" t="s">
        <v>452</v>
      </c>
      <c r="C25" s="486"/>
      <c r="D25" s="458"/>
      <c r="E25" s="487">
        <v>833</v>
      </c>
      <c r="F25" s="478"/>
      <c r="G25" s="458"/>
      <c r="H25" s="458"/>
      <c r="I25" s="618">
        <v>46022</v>
      </c>
      <c r="J25" s="458">
        <v>133.80000000000001</v>
      </c>
      <c r="K25" s="458"/>
      <c r="L25" s="458"/>
      <c r="M25" s="458"/>
      <c r="N25" s="458"/>
      <c r="O25" s="458"/>
      <c r="P25" s="458"/>
      <c r="Q25" s="458"/>
      <c r="R25" s="458"/>
      <c r="S25" s="458"/>
      <c r="T25" s="458"/>
      <c r="U25" s="458"/>
      <c r="V25" s="458"/>
      <c r="W25" s="458"/>
    </row>
    <row r="26" spans="1:23" ht="15.75" customHeight="1">
      <c r="A26" s="483" t="s">
        <v>453</v>
      </c>
      <c r="B26" s="488"/>
      <c r="C26" s="458"/>
      <c r="D26" s="458"/>
      <c r="E26" s="481"/>
      <c r="F26" s="478"/>
      <c r="G26" s="458"/>
      <c r="H26" s="458"/>
      <c r="I26" s="618">
        <v>46387</v>
      </c>
      <c r="J26" s="458">
        <v>102.4</v>
      </c>
      <c r="K26" s="458"/>
      <c r="L26" s="458"/>
      <c r="M26" s="458"/>
      <c r="N26" s="458"/>
      <c r="O26" s="458"/>
      <c r="P26" s="458"/>
      <c r="Q26" s="458"/>
      <c r="R26" s="458"/>
      <c r="S26" s="458"/>
      <c r="T26" s="458"/>
      <c r="U26" s="458"/>
      <c r="V26" s="458"/>
      <c r="W26" s="458"/>
    </row>
    <row r="27" spans="1:23" ht="15" customHeight="1">
      <c r="A27" s="462"/>
      <c r="B27" s="458" t="s">
        <v>454</v>
      </c>
      <c r="C27" s="458"/>
      <c r="D27" s="458"/>
      <c r="E27" s="481"/>
      <c r="F27" s="482">
        <v>-237</v>
      </c>
      <c r="G27" s="458"/>
      <c r="H27" s="458"/>
      <c r="I27" s="618">
        <v>46752</v>
      </c>
      <c r="J27" s="458">
        <v>83.8</v>
      </c>
      <c r="K27" s="458"/>
      <c r="L27" s="458"/>
      <c r="M27" s="458"/>
      <c r="N27" s="458"/>
      <c r="O27" s="458"/>
      <c r="P27" s="458"/>
      <c r="Q27" s="458"/>
      <c r="R27" s="458"/>
      <c r="S27" s="458"/>
      <c r="T27" s="458"/>
      <c r="U27" s="458"/>
      <c r="V27" s="458"/>
      <c r="W27" s="458"/>
    </row>
    <row r="28" spans="1:23" ht="15.75" customHeight="1">
      <c r="A28" s="462"/>
      <c r="B28" s="458" t="s">
        <v>505</v>
      </c>
      <c r="C28" s="458"/>
      <c r="D28" s="458"/>
      <c r="E28" s="458"/>
      <c r="F28" s="482">
        <f>J30</f>
        <v>696.85494842227877</v>
      </c>
      <c r="G28" s="458"/>
      <c r="H28" s="481"/>
      <c r="I28" s="618">
        <v>47118</v>
      </c>
      <c r="J28" s="458">
        <v>68.7</v>
      </c>
      <c r="K28" s="458"/>
      <c r="L28" s="458"/>
      <c r="M28" s="458"/>
      <c r="N28" s="458"/>
      <c r="O28" s="458"/>
      <c r="P28" s="458"/>
      <c r="Q28" s="458"/>
      <c r="R28" s="458"/>
      <c r="S28" s="458"/>
      <c r="T28" s="458"/>
      <c r="U28" s="458"/>
      <c r="V28" s="458"/>
      <c r="W28" s="458"/>
    </row>
    <row r="29" spans="1:23" ht="15.75" customHeight="1" thickBot="1">
      <c r="A29" s="483" t="s">
        <v>455</v>
      </c>
      <c r="B29" s="458"/>
      <c r="C29" s="458"/>
      <c r="D29" s="458"/>
      <c r="E29" s="481"/>
      <c r="F29" s="482">
        <v>1461</v>
      </c>
      <c r="G29" s="458"/>
      <c r="H29" s="481"/>
      <c r="I29" s="618">
        <v>47483</v>
      </c>
      <c r="J29" s="553">
        <v>237.37</v>
      </c>
      <c r="K29" s="458"/>
      <c r="L29" s="458"/>
      <c r="M29" s="458"/>
      <c r="N29" s="458"/>
      <c r="O29" s="458"/>
      <c r="P29" s="458"/>
      <c r="Q29" s="458"/>
      <c r="R29" s="458"/>
      <c r="S29" s="458"/>
      <c r="T29" s="458"/>
      <c r="U29" s="458"/>
      <c r="V29" s="458"/>
      <c r="W29" s="458"/>
    </row>
    <row r="30" spans="1:23" ht="15.75" customHeight="1" thickBot="1">
      <c r="A30" s="489" t="s">
        <v>456</v>
      </c>
      <c r="B30" s="490"/>
      <c r="C30" s="490"/>
      <c r="D30" s="491"/>
      <c r="E30" s="491"/>
      <c r="F30" s="480">
        <f>F18+F19+F20+F23+F27+F28-F29</f>
        <v>32309.345936422287</v>
      </c>
      <c r="G30" s="458"/>
      <c r="H30" s="458"/>
      <c r="I30" s="458" t="s">
        <v>457</v>
      </c>
      <c r="J30" s="492">
        <f>XNPV(J22,J23:J29,I23:I29)</f>
        <v>696.85494842227877</v>
      </c>
      <c r="K30" s="458"/>
      <c r="L30" s="458"/>
      <c r="M30" s="458"/>
      <c r="N30" s="458"/>
      <c r="O30" s="458"/>
      <c r="P30" s="458"/>
      <c r="Q30" s="458"/>
      <c r="R30" s="458"/>
      <c r="S30" s="458"/>
      <c r="T30" s="458"/>
      <c r="U30" s="458"/>
      <c r="V30" s="458"/>
      <c r="W30" s="458"/>
    </row>
    <row r="31" spans="1:23" ht="15.75" customHeight="1" thickBot="1">
      <c r="A31" s="493" t="s">
        <v>458</v>
      </c>
      <c r="B31" s="494"/>
      <c r="C31" s="494"/>
      <c r="D31" s="495"/>
      <c r="E31" s="495"/>
      <c r="F31" s="482">
        <v>22.6</v>
      </c>
      <c r="G31" s="458"/>
      <c r="H31" s="481"/>
      <c r="I31" s="498"/>
      <c r="J31" s="498"/>
      <c r="K31" s="458"/>
      <c r="L31" s="458"/>
      <c r="M31" s="458"/>
      <c r="N31" s="458"/>
      <c r="O31" s="458"/>
      <c r="P31" s="458"/>
      <c r="Q31" s="458"/>
      <c r="R31" s="458"/>
      <c r="S31" s="458"/>
      <c r="T31" s="458"/>
      <c r="U31" s="458"/>
      <c r="V31" s="458"/>
      <c r="W31" s="458"/>
    </row>
    <row r="32" spans="1:23" ht="14.25" customHeight="1" thickBot="1">
      <c r="A32" s="489" t="s">
        <v>306</v>
      </c>
      <c r="B32" s="489"/>
      <c r="C32" s="490"/>
      <c r="D32" s="490"/>
      <c r="E32" s="491"/>
      <c r="F32" s="480">
        <f>F30-F31</f>
        <v>32286.745936422289</v>
      </c>
      <c r="G32" s="458"/>
      <c r="H32" s="458"/>
      <c r="J32" s="498"/>
      <c r="K32" s="458"/>
      <c r="L32" s="458"/>
      <c r="M32" s="458"/>
      <c r="N32" s="458"/>
      <c r="O32" s="458"/>
      <c r="P32" s="458"/>
      <c r="Q32" s="458"/>
      <c r="R32" s="458"/>
      <c r="S32" s="458"/>
      <c r="T32" s="458"/>
      <c r="U32" s="458"/>
      <c r="V32" s="458"/>
      <c r="W32" s="458"/>
    </row>
    <row r="33" spans="1:24" ht="15" customHeight="1" thickBot="1">
      <c r="A33" s="466" t="s">
        <v>459</v>
      </c>
      <c r="B33" s="467"/>
      <c r="C33" s="467"/>
      <c r="D33" s="467"/>
      <c r="E33" s="467"/>
      <c r="F33" s="496">
        <f>C15</f>
        <v>26.67</v>
      </c>
      <c r="G33" s="458"/>
      <c r="H33" s="458"/>
      <c r="J33" s="498"/>
      <c r="K33" s="458"/>
      <c r="L33" s="458"/>
      <c r="M33" s="458"/>
      <c r="N33" s="458"/>
      <c r="O33" s="458"/>
      <c r="P33" s="458"/>
      <c r="Q33" s="458"/>
      <c r="R33" s="458"/>
      <c r="S33" s="458"/>
      <c r="T33" s="458"/>
      <c r="U33" s="458"/>
      <c r="V33" s="458"/>
      <c r="W33" s="458"/>
    </row>
    <row r="34" spans="1:24" ht="15.75" customHeight="1" thickBot="1">
      <c r="A34" s="458"/>
      <c r="B34" s="458"/>
      <c r="C34" s="458"/>
      <c r="D34" s="458"/>
      <c r="E34" s="458"/>
      <c r="F34" s="458"/>
      <c r="G34" s="458"/>
      <c r="H34" s="498"/>
      <c r="J34" s="498"/>
      <c r="K34" s="458"/>
      <c r="L34" s="458"/>
      <c r="M34" s="458"/>
      <c r="N34" s="458"/>
      <c r="O34" s="458"/>
      <c r="P34" s="458"/>
      <c r="Q34" s="458"/>
      <c r="R34" s="458"/>
      <c r="S34" s="458"/>
      <c r="T34" s="458"/>
      <c r="U34" s="458"/>
      <c r="V34" s="458"/>
      <c r="W34" s="458"/>
    </row>
    <row r="35" spans="1:24" ht="15.75" customHeight="1" thickBot="1">
      <c r="A35" s="471" t="s">
        <v>460</v>
      </c>
      <c r="B35" s="472"/>
      <c r="C35" s="499"/>
      <c r="D35" s="499"/>
      <c r="E35" s="499"/>
      <c r="F35" s="499"/>
      <c r="G35" s="499"/>
      <c r="H35" s="499"/>
      <c r="J35" s="498"/>
      <c r="K35" s="458"/>
      <c r="L35" s="458"/>
      <c r="M35" s="458"/>
      <c r="N35" s="458"/>
      <c r="O35" s="458"/>
      <c r="P35" s="458"/>
      <c r="Q35" s="458"/>
      <c r="R35" s="458"/>
      <c r="S35" s="458"/>
      <c r="T35" s="458"/>
      <c r="U35" s="458"/>
      <c r="V35" s="458"/>
      <c r="W35" s="458"/>
    </row>
    <row r="36" spans="1:24" ht="15.75" customHeight="1" thickBot="1">
      <c r="A36" s="458"/>
      <c r="B36" s="458"/>
      <c r="C36" s="458"/>
      <c r="D36" s="458"/>
      <c r="E36" s="458"/>
      <c r="F36" s="458"/>
      <c r="G36" s="458"/>
      <c r="H36" s="498"/>
      <c r="J36" s="498"/>
      <c r="K36" s="498"/>
      <c r="L36" s="458"/>
      <c r="M36" s="458"/>
      <c r="N36" s="458"/>
      <c r="O36" s="458"/>
      <c r="P36" s="458"/>
      <c r="Q36" s="458"/>
      <c r="R36" s="458"/>
      <c r="S36" s="458"/>
      <c r="T36" s="458"/>
      <c r="U36" s="458"/>
      <c r="V36" s="458"/>
      <c r="W36" s="458"/>
    </row>
    <row r="37" spans="1:24" ht="15.75" customHeight="1" thickBot="1">
      <c r="A37" s="458"/>
      <c r="B37" s="500" t="s">
        <v>461</v>
      </c>
      <c r="C37" s="501"/>
      <c r="D37" s="502"/>
      <c r="E37" s="502"/>
      <c r="F37" s="502"/>
      <c r="G37" s="502"/>
      <c r="H37" s="502"/>
      <c r="I37" s="503"/>
      <c r="J37" s="498"/>
      <c r="K37" s="504"/>
      <c r="L37" s="458"/>
      <c r="M37" s="458"/>
      <c r="N37" s="458"/>
      <c r="O37" s="458"/>
      <c r="P37" s="458"/>
      <c r="Q37" s="458"/>
      <c r="R37" s="458"/>
      <c r="S37" s="458"/>
      <c r="T37" s="458"/>
      <c r="U37" s="458"/>
      <c r="V37" s="458"/>
      <c r="W37" s="458"/>
      <c r="X37" s="458"/>
    </row>
    <row r="38" spans="1:24" ht="15.75" customHeight="1">
      <c r="A38" s="458"/>
      <c r="B38" s="506"/>
      <c r="C38" s="814" t="s">
        <v>462</v>
      </c>
      <c r="D38" s="814" t="s">
        <v>463</v>
      </c>
      <c r="E38" s="507"/>
      <c r="F38" s="508" t="s">
        <v>464</v>
      </c>
      <c r="G38" s="509"/>
      <c r="H38" s="509"/>
      <c r="I38" s="510" t="s">
        <v>465</v>
      </c>
      <c r="J38" s="498"/>
      <c r="K38" s="505"/>
      <c r="L38" s="505"/>
      <c r="M38" s="488"/>
      <c r="N38" s="488"/>
      <c r="O38" s="458"/>
      <c r="P38" s="458"/>
      <c r="Q38" s="458"/>
      <c r="R38" s="458"/>
      <c r="S38" s="458"/>
      <c r="T38" s="458"/>
      <c r="U38" s="458"/>
      <c r="V38" s="458"/>
      <c r="W38" s="458"/>
      <c r="X38" s="458"/>
    </row>
    <row r="39" spans="1:24" ht="15.75" customHeight="1">
      <c r="A39" s="458"/>
      <c r="B39" s="511" t="s">
        <v>466</v>
      </c>
      <c r="C39" s="815"/>
      <c r="D39" s="815"/>
      <c r="E39" s="554" t="s">
        <v>467</v>
      </c>
      <c r="F39" s="555" t="s">
        <v>468</v>
      </c>
      <c r="G39" s="488" t="s">
        <v>469</v>
      </c>
      <c r="H39" s="488" t="s">
        <v>470</v>
      </c>
      <c r="I39" s="512" t="s">
        <v>471</v>
      </c>
      <c r="J39" s="498"/>
      <c r="K39" s="513"/>
      <c r="L39" s="505"/>
      <c r="M39" s="505"/>
      <c r="N39" s="458"/>
      <c r="O39" s="458"/>
      <c r="P39" s="458"/>
      <c r="Q39" s="458"/>
      <c r="R39" s="458"/>
      <c r="S39" s="458"/>
      <c r="T39" s="458"/>
      <c r="U39" s="458"/>
      <c r="V39" s="458"/>
      <c r="W39" s="458"/>
      <c r="X39" s="458"/>
    </row>
    <row r="40" spans="1:24" ht="15.75" customHeight="1">
      <c r="A40" s="458"/>
      <c r="B40" s="515" t="s">
        <v>472</v>
      </c>
      <c r="C40" s="556">
        <v>60.3</v>
      </c>
      <c r="D40" s="557">
        <v>0.1</v>
      </c>
      <c r="E40" s="558" t="str">
        <f>IF(D40&lt;F33,"YES","NO")</f>
        <v>YES</v>
      </c>
      <c r="F40" s="559">
        <f>IF(E40="YES",C40,0)</f>
        <v>60.3</v>
      </c>
      <c r="G40" s="619">
        <f>F40*D40</f>
        <v>6.03</v>
      </c>
      <c r="H40" s="620">
        <f>G40/F33</f>
        <v>0.22609673790776152</v>
      </c>
      <c r="I40" s="516">
        <f>F40-H40</f>
        <v>60.073903262092237</v>
      </c>
      <c r="J40" s="498"/>
      <c r="K40" s="514"/>
      <c r="L40" s="514"/>
      <c r="M40" s="481"/>
      <c r="N40" s="514"/>
      <c r="O40" s="458"/>
      <c r="P40" s="458"/>
      <c r="Q40" s="458"/>
      <c r="R40" s="458"/>
      <c r="S40" s="458"/>
      <c r="T40" s="458"/>
      <c r="U40" s="458"/>
      <c r="V40" s="458"/>
      <c r="W40" s="458"/>
      <c r="X40" s="458"/>
    </row>
    <row r="41" spans="1:24" ht="15.75" customHeight="1">
      <c r="A41" s="458"/>
      <c r="B41" s="515" t="s">
        <v>473</v>
      </c>
      <c r="C41" s="556">
        <v>61.75</v>
      </c>
      <c r="D41" s="557">
        <v>16.34</v>
      </c>
      <c r="E41" s="558" t="str">
        <f t="shared" ref="E41" si="0">IF(D41&lt;F34,"YES","NO")</f>
        <v>NO</v>
      </c>
      <c r="F41" s="559">
        <f t="shared" ref="F41:F42" si="1">IF(E41="YES",C41,0)</f>
        <v>0</v>
      </c>
      <c r="G41" s="560">
        <f t="shared" ref="G41:G42" si="2">F41*D41</f>
        <v>0</v>
      </c>
      <c r="H41" s="559"/>
      <c r="I41" s="516">
        <v>0</v>
      </c>
      <c r="J41" s="498"/>
      <c r="K41" s="514"/>
      <c r="L41" s="514"/>
      <c r="M41" s="481"/>
      <c r="N41" s="514"/>
      <c r="O41" s="458"/>
      <c r="P41" s="458"/>
      <c r="Q41" s="458"/>
      <c r="R41" s="458"/>
      <c r="S41" s="458"/>
      <c r="T41" s="458"/>
      <c r="U41" s="458"/>
      <c r="V41" s="458"/>
      <c r="W41" s="458"/>
      <c r="X41" s="458"/>
    </row>
    <row r="42" spans="1:24" ht="15.75" customHeight="1">
      <c r="A42" s="458"/>
      <c r="B42" s="515" t="s">
        <v>515</v>
      </c>
      <c r="C42" s="556">
        <v>108.56</v>
      </c>
      <c r="D42" s="557">
        <v>0</v>
      </c>
      <c r="E42" s="558" t="str">
        <f>IF(D42&lt;F33,"YES","NO")</f>
        <v>YES</v>
      </c>
      <c r="F42" s="559">
        <f t="shared" si="1"/>
        <v>108.56</v>
      </c>
      <c r="G42" s="560">
        <f t="shared" si="2"/>
        <v>0</v>
      </c>
      <c r="H42" s="559"/>
      <c r="I42" s="516">
        <f>C42</f>
        <v>108.56</v>
      </c>
      <c r="J42" s="458"/>
      <c r="K42" s="514"/>
      <c r="L42" s="514"/>
      <c r="M42" s="481"/>
      <c r="N42" s="514"/>
      <c r="O42" s="458"/>
      <c r="P42" s="458"/>
      <c r="Q42" s="458"/>
      <c r="R42" s="458"/>
      <c r="S42" s="458"/>
      <c r="T42" s="458"/>
      <c r="U42" s="458"/>
      <c r="V42" s="458"/>
      <c r="W42" s="458"/>
      <c r="X42" s="458"/>
    </row>
    <row r="43" spans="1:24" ht="15.75" customHeight="1">
      <c r="A43" s="458"/>
      <c r="B43" s="515"/>
      <c r="C43" s="556"/>
      <c r="D43" s="557"/>
      <c r="E43" s="558"/>
      <c r="F43" s="559"/>
      <c r="G43" s="560"/>
      <c r="H43" s="559"/>
      <c r="I43" s="516"/>
      <c r="J43" s="486"/>
      <c r="K43" s="514"/>
      <c r="L43" s="514"/>
      <c r="M43" s="481"/>
      <c r="N43" s="514"/>
      <c r="O43" s="458"/>
      <c r="P43" s="458"/>
      <c r="Q43" s="458"/>
      <c r="R43" s="458"/>
      <c r="S43" s="458"/>
      <c r="T43" s="458"/>
      <c r="U43" s="458"/>
      <c r="V43" s="458"/>
      <c r="W43" s="458"/>
      <c r="X43" s="458"/>
    </row>
    <row r="44" spans="1:24" ht="15.75" customHeight="1">
      <c r="A44" s="458"/>
      <c r="B44" s="515"/>
      <c r="C44" s="556"/>
      <c r="D44" s="557"/>
      <c r="E44" s="558"/>
      <c r="F44" s="559"/>
      <c r="G44" s="560"/>
      <c r="H44" s="559"/>
      <c r="I44" s="516"/>
      <c r="J44" s="486"/>
      <c r="K44" s="514"/>
      <c r="L44" s="514"/>
      <c r="M44" s="481"/>
      <c r="N44" s="514"/>
      <c r="O44" s="458"/>
      <c r="P44" s="458"/>
      <c r="Q44" s="458"/>
      <c r="R44" s="458"/>
      <c r="S44" s="458"/>
      <c r="T44" s="458"/>
      <c r="U44" s="458"/>
      <c r="V44" s="458"/>
      <c r="W44" s="458"/>
      <c r="X44" s="458"/>
    </row>
    <row r="45" spans="1:24" ht="15.75" customHeight="1" thickBot="1">
      <c r="A45" s="458"/>
      <c r="B45" s="517"/>
      <c r="C45" s="518"/>
      <c r="D45" s="518"/>
      <c r="E45" s="518"/>
      <c r="F45" s="518"/>
      <c r="G45" s="518"/>
      <c r="H45" s="519"/>
      <c r="I45" s="520">
        <f>SUM(I40:I42)</f>
        <v>168.63390326209225</v>
      </c>
      <c r="J45" s="458"/>
      <c r="K45" s="458"/>
      <c r="L45" s="458"/>
      <c r="M45" s="458"/>
      <c r="N45" s="458"/>
      <c r="O45" s="458"/>
      <c r="P45" s="458"/>
      <c r="Q45" s="458"/>
      <c r="R45" s="458"/>
      <c r="S45" s="458"/>
      <c r="T45" s="458"/>
      <c r="U45" s="458"/>
      <c r="V45" s="458"/>
      <c r="W45" s="458"/>
      <c r="X45" s="458"/>
    </row>
    <row r="46" spans="1:24" ht="15.75" customHeight="1" thickBot="1">
      <c r="A46" s="458"/>
      <c r="B46" s="458"/>
      <c r="C46" s="458"/>
      <c r="D46" s="458"/>
      <c r="E46" s="458"/>
      <c r="F46" s="458"/>
      <c r="G46" s="458"/>
      <c r="H46" s="498"/>
      <c r="J46" s="458"/>
      <c r="K46" s="498"/>
      <c r="L46" s="458"/>
      <c r="M46" s="458"/>
      <c r="N46" s="458"/>
      <c r="O46" s="458"/>
      <c r="P46" s="458"/>
      <c r="Q46" s="458"/>
      <c r="R46" s="458"/>
      <c r="S46" s="458"/>
      <c r="T46" s="458"/>
      <c r="U46" s="458"/>
      <c r="V46" s="458"/>
      <c r="W46" s="458"/>
    </row>
    <row r="47" spans="1:24" ht="15.75" customHeight="1" thickBot="1">
      <c r="A47" s="458"/>
      <c r="B47" s="521" t="s">
        <v>475</v>
      </c>
      <c r="C47" s="522"/>
      <c r="D47" s="522"/>
      <c r="E47" s="522"/>
      <c r="F47" s="522"/>
      <c r="G47" s="523"/>
      <c r="H47" s="498"/>
      <c r="J47" s="458"/>
      <c r="K47" s="458"/>
      <c r="L47" s="458"/>
      <c r="M47" s="458"/>
      <c r="N47" s="458"/>
      <c r="O47" s="458"/>
      <c r="P47" s="458"/>
      <c r="Q47" s="458"/>
      <c r="R47" s="458"/>
      <c r="S47" s="458"/>
      <c r="T47" s="458"/>
      <c r="U47" s="458"/>
      <c r="V47" s="458"/>
      <c r="W47" s="458"/>
    </row>
    <row r="48" spans="1:24" ht="15.75" customHeight="1">
      <c r="A48" s="458"/>
      <c r="B48" s="524"/>
      <c r="C48" s="525"/>
      <c r="D48" s="525"/>
      <c r="E48" s="816" t="s">
        <v>476</v>
      </c>
      <c r="F48" s="526"/>
      <c r="G48" s="817" t="s">
        <v>477</v>
      </c>
      <c r="H48" s="498"/>
      <c r="I48" s="498"/>
      <c r="J48" s="458"/>
      <c r="K48" s="486"/>
      <c r="L48" s="458"/>
      <c r="M48" s="811"/>
      <c r="N48" s="458"/>
      <c r="O48" s="458"/>
      <c r="P48" s="458"/>
      <c r="Q48" s="458"/>
      <c r="R48" s="458"/>
      <c r="S48" s="458"/>
      <c r="T48" s="458"/>
      <c r="U48" s="458"/>
      <c r="V48" s="458"/>
      <c r="W48" s="458"/>
    </row>
    <row r="49" spans="1:23" ht="15.75" customHeight="1">
      <c r="A49" s="458"/>
      <c r="B49" s="528" t="s">
        <v>478</v>
      </c>
      <c r="C49" s="529" t="s">
        <v>479</v>
      </c>
      <c r="D49" s="529" t="s">
        <v>480</v>
      </c>
      <c r="E49" s="812"/>
      <c r="F49" s="527" t="s">
        <v>481</v>
      </c>
      <c r="G49" s="818"/>
      <c r="H49" s="498"/>
      <c r="I49" s="498"/>
      <c r="J49" s="458"/>
      <c r="K49" s="529"/>
      <c r="L49" s="527"/>
      <c r="M49" s="812"/>
      <c r="N49" s="458"/>
      <c r="O49" s="458"/>
      <c r="P49" s="458"/>
      <c r="Q49" s="458"/>
      <c r="R49" s="458"/>
      <c r="S49" s="458"/>
      <c r="T49" s="458"/>
      <c r="U49" s="458"/>
      <c r="V49" s="458"/>
      <c r="W49" s="458"/>
    </row>
    <row r="50" spans="1:23" ht="15.75" customHeight="1">
      <c r="A50" s="458"/>
      <c r="B50" s="531"/>
      <c r="C50" s="545"/>
      <c r="D50" s="545"/>
      <c r="E50" s="561"/>
      <c r="F50" s="562"/>
      <c r="G50" s="532"/>
      <c r="H50" s="498"/>
      <c r="I50" s="498"/>
      <c r="J50" s="498"/>
      <c r="K50" s="481"/>
      <c r="L50" s="530"/>
      <c r="M50" s="530"/>
      <c r="N50" s="458"/>
      <c r="O50" s="458"/>
      <c r="P50" s="458"/>
      <c r="Q50" s="458"/>
      <c r="R50" s="458"/>
      <c r="S50" s="458"/>
      <c r="T50" s="458"/>
      <c r="U50" s="458"/>
      <c r="V50" s="458"/>
      <c r="W50" s="458"/>
    </row>
    <row r="51" spans="1:23" ht="15.75" customHeight="1">
      <c r="A51" s="458"/>
      <c r="B51" s="531"/>
      <c r="C51" s="545"/>
      <c r="D51" s="545"/>
      <c r="E51" s="561"/>
      <c r="F51" s="562"/>
      <c r="G51" s="532"/>
      <c r="H51" s="498"/>
      <c r="I51" s="498"/>
      <c r="J51" s="498"/>
      <c r="K51" s="481"/>
      <c r="L51" s="530"/>
      <c r="M51" s="530"/>
      <c r="N51" s="458"/>
      <c r="O51" s="458"/>
      <c r="P51" s="458"/>
      <c r="Q51" s="458"/>
      <c r="R51" s="458"/>
      <c r="S51" s="458"/>
      <c r="T51" s="458"/>
      <c r="U51" s="458"/>
      <c r="V51" s="458"/>
      <c r="W51" s="458"/>
    </row>
    <row r="52" spans="1:23" ht="15.75" customHeight="1">
      <c r="A52" s="458"/>
      <c r="B52" s="531"/>
      <c r="C52" s="545"/>
      <c r="D52" s="545"/>
      <c r="E52" s="561"/>
      <c r="F52" s="562"/>
      <c r="G52" s="532"/>
      <c r="H52" s="498"/>
      <c r="I52" s="536"/>
      <c r="J52" s="536"/>
      <c r="K52" s="481"/>
      <c r="L52" s="530"/>
      <c r="M52" s="530"/>
      <c r="N52" s="458"/>
      <c r="O52" s="458"/>
      <c r="P52" s="458"/>
      <c r="Q52" s="458"/>
      <c r="R52" s="458"/>
      <c r="S52" s="458"/>
      <c r="T52" s="458"/>
      <c r="U52" s="458"/>
      <c r="V52" s="458"/>
      <c r="W52" s="458"/>
    </row>
    <row r="53" spans="1:23" ht="15.75" customHeight="1" thickBot="1">
      <c r="A53" s="458"/>
      <c r="B53" s="533"/>
      <c r="C53" s="534"/>
      <c r="D53" s="534"/>
      <c r="E53" s="534"/>
      <c r="F53" s="519" t="s">
        <v>474</v>
      </c>
      <c r="G53" s="535"/>
      <c r="H53" s="498"/>
      <c r="I53" s="621"/>
      <c r="J53" s="621"/>
      <c r="K53" s="481"/>
      <c r="L53" s="530"/>
      <c r="M53" s="530"/>
      <c r="N53" s="458"/>
      <c r="O53" s="458"/>
      <c r="P53" s="458"/>
      <c r="Q53" s="458"/>
      <c r="R53" s="458"/>
      <c r="S53" s="458"/>
      <c r="T53" s="458"/>
      <c r="U53" s="458"/>
      <c r="V53" s="458"/>
      <c r="W53" s="458"/>
    </row>
    <row r="54" spans="1:23" ht="15.75" customHeight="1">
      <c r="A54" s="458"/>
      <c r="B54" s="458"/>
      <c r="C54" s="458"/>
      <c r="D54" s="458"/>
      <c r="E54" s="458"/>
      <c r="F54" s="458"/>
      <c r="G54" s="458"/>
      <c r="H54" s="498"/>
      <c r="I54" s="622"/>
      <c r="J54" s="623"/>
      <c r="K54" s="458"/>
      <c r="L54" s="458"/>
      <c r="M54" s="458"/>
      <c r="N54" s="458"/>
      <c r="O54" s="458"/>
      <c r="P54" s="458"/>
      <c r="Q54" s="458"/>
      <c r="R54" s="458"/>
      <c r="S54" s="458"/>
      <c r="T54" s="458"/>
      <c r="U54" s="458"/>
      <c r="V54" s="458"/>
      <c r="W54" s="458"/>
    </row>
    <row r="55" spans="1:23" ht="15.75" customHeight="1">
      <c r="A55" s="458"/>
      <c r="B55" s="458"/>
      <c r="C55" s="458"/>
      <c r="D55" s="458"/>
      <c r="E55" s="458"/>
      <c r="F55" s="458"/>
      <c r="G55" s="458"/>
      <c r="H55" s="498"/>
      <c r="I55" s="624"/>
      <c r="J55" s="624"/>
      <c r="K55" s="498"/>
      <c r="L55" s="458"/>
      <c r="M55" s="458"/>
      <c r="N55" s="458"/>
      <c r="O55" s="458"/>
      <c r="P55" s="458"/>
      <c r="Q55" s="458"/>
      <c r="R55" s="458"/>
      <c r="S55" s="458"/>
      <c r="T55" s="458"/>
      <c r="U55" s="458"/>
      <c r="V55" s="458"/>
      <c r="W55" s="458"/>
    </row>
    <row r="56" spans="1:23" ht="15.75" customHeight="1">
      <c r="A56" s="458"/>
      <c r="B56" s="458"/>
      <c r="C56" s="458"/>
      <c r="D56" s="458"/>
      <c r="E56" s="458"/>
      <c r="F56" s="458"/>
      <c r="G56" s="458"/>
      <c r="H56" s="498"/>
      <c r="I56" s="622"/>
      <c r="J56" s="622"/>
      <c r="K56" s="498"/>
      <c r="L56" s="458"/>
      <c r="M56" s="458"/>
      <c r="N56" s="458"/>
      <c r="O56" s="458"/>
      <c r="P56" s="458"/>
      <c r="Q56" s="458"/>
      <c r="R56" s="458"/>
      <c r="S56" s="458"/>
      <c r="T56" s="458"/>
      <c r="U56" s="458"/>
      <c r="V56" s="458"/>
      <c r="W56" s="458"/>
    </row>
    <row r="57" spans="1:23" ht="15.75" customHeight="1">
      <c r="A57" s="537" t="s">
        <v>484</v>
      </c>
      <c r="B57" s="537"/>
      <c r="C57" s="537"/>
      <c r="D57" s="537"/>
      <c r="E57" s="537"/>
      <c r="F57" s="537"/>
      <c r="G57" s="537"/>
      <c r="H57" s="538" t="s">
        <v>485</v>
      </c>
      <c r="I57" s="538" t="s">
        <v>486</v>
      </c>
      <c r="J57" s="538" t="s">
        <v>487</v>
      </c>
      <c r="K57" s="538" t="s">
        <v>488</v>
      </c>
      <c r="L57" s="538" t="s">
        <v>482</v>
      </c>
      <c r="M57" s="538" t="s">
        <v>483</v>
      </c>
      <c r="N57" s="538" t="s">
        <v>489</v>
      </c>
      <c r="O57" s="458"/>
      <c r="P57" s="458"/>
      <c r="Q57" s="458"/>
      <c r="R57" s="458"/>
      <c r="S57" s="458"/>
      <c r="T57" s="458"/>
      <c r="U57" s="458"/>
      <c r="V57" s="458"/>
      <c r="W57" s="458"/>
    </row>
    <row r="58" spans="1:23" ht="15.75" customHeight="1" thickBot="1">
      <c r="A58" s="458"/>
      <c r="B58" s="458"/>
      <c r="C58" s="458"/>
      <c r="D58" s="458"/>
      <c r="E58" s="458"/>
      <c r="F58" s="458"/>
      <c r="G58" s="458" t="s">
        <v>490</v>
      </c>
      <c r="H58" s="563">
        <f>F8</f>
        <v>45657</v>
      </c>
      <c r="I58" s="458"/>
      <c r="J58" s="458"/>
      <c r="K58" s="458"/>
      <c r="L58" s="470"/>
      <c r="M58" s="470"/>
      <c r="N58" s="458"/>
      <c r="O58" s="458"/>
      <c r="P58" s="458"/>
      <c r="Q58" s="458"/>
      <c r="R58" s="458"/>
      <c r="S58" s="458"/>
      <c r="T58" s="458"/>
      <c r="U58" s="458"/>
      <c r="V58" s="458"/>
      <c r="W58" s="458"/>
    </row>
    <row r="59" spans="1:23" ht="15.75" customHeight="1" thickBot="1">
      <c r="A59" s="458" t="s">
        <v>491</v>
      </c>
      <c r="B59" s="458"/>
      <c r="C59" s="458"/>
      <c r="D59" s="458"/>
      <c r="E59" s="458"/>
      <c r="F59" s="458"/>
      <c r="G59" s="458"/>
      <c r="H59" s="545">
        <v>19790</v>
      </c>
      <c r="I59" s="545">
        <v>0</v>
      </c>
      <c r="J59" s="564">
        <v>0</v>
      </c>
      <c r="K59" s="480">
        <f>H59+I59-J59</f>
        <v>19790</v>
      </c>
      <c r="L59" s="539">
        <v>23284</v>
      </c>
      <c r="M59" s="539">
        <v>30653</v>
      </c>
      <c r="N59" s="540">
        <f>(M59/K59)^(1/2)-1</f>
        <v>0.24455357165675995</v>
      </c>
      <c r="O59" s="458"/>
      <c r="P59" s="458"/>
      <c r="Q59" s="458"/>
      <c r="R59" s="458"/>
      <c r="S59" s="458"/>
      <c r="T59" s="458"/>
      <c r="U59" s="458"/>
      <c r="V59" s="458"/>
      <c r="W59" s="458"/>
    </row>
    <row r="60" spans="1:23" ht="4.5" customHeight="1" thickBot="1">
      <c r="A60" s="458"/>
      <c r="B60" s="458"/>
      <c r="C60" s="458"/>
      <c r="D60" s="458"/>
      <c r="E60" s="458"/>
      <c r="F60" s="458"/>
      <c r="G60" s="458"/>
      <c r="H60" s="481"/>
      <c r="I60" s="481"/>
      <c r="J60" s="481"/>
      <c r="K60" s="481"/>
      <c r="L60" s="458"/>
      <c r="M60" s="458"/>
      <c r="N60" s="458"/>
      <c r="O60" s="458"/>
      <c r="P60" s="458"/>
      <c r="Q60" s="458"/>
      <c r="R60" s="458"/>
      <c r="S60" s="458"/>
      <c r="T60" s="458"/>
      <c r="U60" s="458"/>
      <c r="V60" s="458"/>
      <c r="W60" s="458"/>
    </row>
    <row r="61" spans="1:23" ht="15.75" customHeight="1" thickBot="1">
      <c r="A61" s="458" t="s">
        <v>492</v>
      </c>
      <c r="B61" s="458"/>
      <c r="C61" s="458"/>
      <c r="D61" s="458"/>
      <c r="E61" s="458"/>
      <c r="F61" s="458"/>
      <c r="G61" s="458">
        <f>123851332/1000</f>
        <v>123851.33199999999</v>
      </c>
      <c r="H61" s="545">
        <v>1037</v>
      </c>
      <c r="I61" s="545">
        <v>0</v>
      </c>
      <c r="J61" s="545">
        <v>0</v>
      </c>
      <c r="K61" s="480">
        <f>H61+I61-J61</f>
        <v>1037</v>
      </c>
      <c r="L61" s="458"/>
      <c r="M61" s="458"/>
      <c r="N61" s="458"/>
      <c r="O61" s="458"/>
      <c r="P61" s="458"/>
      <c r="Q61" s="458"/>
      <c r="R61" s="458"/>
      <c r="S61" s="458"/>
      <c r="T61" s="458"/>
      <c r="U61" s="458"/>
      <c r="V61" s="458"/>
      <c r="W61" s="458"/>
    </row>
    <row r="62" spans="1:23" ht="15.75" customHeight="1" thickBot="1">
      <c r="A62" s="458" t="s">
        <v>493</v>
      </c>
      <c r="B62" s="494"/>
      <c r="C62" s="494"/>
      <c r="D62" s="494"/>
      <c r="E62" s="494"/>
      <c r="F62" s="494"/>
      <c r="G62" s="625">
        <f>G61*0.14</f>
        <v>17339.18648</v>
      </c>
      <c r="H62" s="545"/>
      <c r="I62" s="545">
        <v>0</v>
      </c>
      <c r="J62" s="545">
        <v>0</v>
      </c>
      <c r="K62" s="494"/>
      <c r="L62" s="494"/>
      <c r="M62" s="494"/>
      <c r="N62" s="494"/>
      <c r="O62" s="494"/>
      <c r="P62" s="494"/>
      <c r="Q62" s="494"/>
      <c r="R62" s="494"/>
      <c r="S62" s="494"/>
      <c r="T62" s="494"/>
      <c r="U62" s="494"/>
      <c r="V62" s="494"/>
      <c r="W62" s="494"/>
    </row>
    <row r="63" spans="1:23" ht="15.75" customHeight="1" thickBot="1">
      <c r="A63" s="541" t="s">
        <v>494</v>
      </c>
      <c r="B63" s="494"/>
      <c r="C63" s="494"/>
      <c r="D63" s="494"/>
      <c r="E63" s="494"/>
      <c r="F63" s="494"/>
      <c r="G63" s="625">
        <f>7406877/1000</f>
        <v>7406.8770000000004</v>
      </c>
      <c r="H63" s="544">
        <f>H61</f>
        <v>1037</v>
      </c>
      <c r="I63" s="544">
        <v>0</v>
      </c>
      <c r="J63" s="565">
        <v>0</v>
      </c>
      <c r="K63" s="480">
        <f>H63+I63-J63</f>
        <v>1037</v>
      </c>
      <c r="L63" s="539">
        <f>9033*0.14</f>
        <v>1264.6200000000001</v>
      </c>
      <c r="M63" s="539">
        <f>14759*0.14</f>
        <v>2066.2600000000002</v>
      </c>
      <c r="N63" s="540">
        <f>(M63/K63)^(1/2)-1</f>
        <v>0.41157223053083114</v>
      </c>
      <c r="O63" s="494"/>
      <c r="P63" s="494"/>
      <c r="Q63" s="494"/>
      <c r="R63" s="494"/>
      <c r="S63" s="494"/>
      <c r="T63" s="494"/>
      <c r="U63" s="494"/>
      <c r="V63" s="494"/>
      <c r="W63" s="494"/>
    </row>
    <row r="64" spans="1:23" ht="15.75" customHeight="1" thickBot="1">
      <c r="A64" s="458" t="s">
        <v>495</v>
      </c>
      <c r="B64" s="458"/>
      <c r="C64" s="458"/>
      <c r="D64" s="458"/>
      <c r="E64" s="458"/>
      <c r="F64" s="458"/>
      <c r="G64" s="492">
        <f>G63*0.14</f>
        <v>1036.9627800000001</v>
      </c>
      <c r="H64" s="545">
        <v>252</v>
      </c>
      <c r="I64" s="545">
        <v>0</v>
      </c>
      <c r="J64" s="545">
        <v>0</v>
      </c>
      <c r="K64" s="458"/>
      <c r="L64" s="458"/>
      <c r="M64" s="458"/>
      <c r="N64" s="458"/>
      <c r="O64" s="458"/>
      <c r="P64" s="458"/>
      <c r="Q64" s="458"/>
      <c r="R64" s="458"/>
      <c r="S64" s="458"/>
      <c r="T64" s="458"/>
      <c r="U64" s="458"/>
      <c r="V64" s="458"/>
      <c r="W64" s="458"/>
    </row>
    <row r="65" spans="1:23" ht="15.75" customHeight="1" thickBot="1">
      <c r="A65" s="494" t="s">
        <v>496</v>
      </c>
      <c r="B65" s="494"/>
      <c r="C65" s="494"/>
      <c r="D65" s="494"/>
      <c r="E65" s="494"/>
      <c r="F65" s="494"/>
      <c r="G65" s="494"/>
      <c r="H65" s="544">
        <f>H63+H64</f>
        <v>1289</v>
      </c>
      <c r="I65" s="544">
        <v>0</v>
      </c>
      <c r="J65" s="565">
        <v>0</v>
      </c>
      <c r="K65" s="480">
        <f>H65+I65-J65</f>
        <v>1289</v>
      </c>
      <c r="L65" s="539">
        <f>13115*0.14</f>
        <v>1836.1000000000001</v>
      </c>
      <c r="M65" s="539">
        <f>19209*0.14</f>
        <v>2689.26</v>
      </c>
      <c r="N65" s="540">
        <f>(M65/K65)^(1/2)-1</f>
        <v>0.44440817390624332</v>
      </c>
      <c r="O65" s="494"/>
      <c r="P65" s="494"/>
      <c r="Q65" s="494"/>
      <c r="R65" s="494"/>
      <c r="S65" s="494"/>
      <c r="T65" s="494"/>
      <c r="U65" s="494"/>
      <c r="V65" s="494"/>
      <c r="W65" s="494"/>
    </row>
    <row r="66" spans="1:23" ht="16.5" customHeight="1" thickBot="1">
      <c r="A66" s="458"/>
      <c r="B66" s="458"/>
      <c r="C66" s="458"/>
      <c r="D66" s="458"/>
      <c r="E66" s="458"/>
      <c r="F66" s="458"/>
      <c r="G66" s="458"/>
      <c r="H66" s="481"/>
      <c r="I66" s="481"/>
      <c r="J66" s="481"/>
      <c r="K66" s="458"/>
      <c r="L66" s="458"/>
      <c r="M66" s="458"/>
      <c r="N66" s="458"/>
      <c r="O66" s="458"/>
      <c r="P66" s="458"/>
      <c r="Q66" s="458"/>
      <c r="R66" s="458"/>
      <c r="S66" s="458"/>
      <c r="T66" s="458"/>
      <c r="U66" s="458"/>
      <c r="V66" s="458"/>
      <c r="W66" s="458"/>
    </row>
    <row r="67" spans="1:23" ht="15.75" customHeight="1" thickBot="1">
      <c r="A67" s="458" t="s">
        <v>509</v>
      </c>
      <c r="B67" s="458"/>
      <c r="C67" s="458"/>
      <c r="D67" s="458"/>
      <c r="E67" s="458"/>
      <c r="F67" s="458"/>
      <c r="G67" s="458"/>
      <c r="H67" s="545">
        <v>1653</v>
      </c>
      <c r="I67" s="545">
        <v>0</v>
      </c>
      <c r="J67" s="545">
        <v>0</v>
      </c>
      <c r="K67" s="480">
        <f>H67+I67-J67</f>
        <v>1653</v>
      </c>
      <c r="L67" s="458"/>
      <c r="M67" s="458"/>
      <c r="N67" s="458"/>
      <c r="O67" s="458"/>
      <c r="P67" s="458"/>
      <c r="Q67" s="458"/>
      <c r="R67" s="458"/>
      <c r="S67" s="458"/>
      <c r="T67" s="458"/>
      <c r="U67" s="458"/>
      <c r="V67" s="458"/>
      <c r="W67" s="458"/>
    </row>
    <row r="68" spans="1:23" ht="15.75" customHeight="1">
      <c r="A68" s="458" t="s">
        <v>497</v>
      </c>
      <c r="B68" s="458"/>
      <c r="C68" s="458"/>
      <c r="D68" s="458"/>
      <c r="E68" s="458"/>
      <c r="F68" s="458"/>
      <c r="G68" s="458"/>
      <c r="H68" s="566"/>
      <c r="I68" s="566">
        <v>0</v>
      </c>
      <c r="J68" s="566">
        <v>0</v>
      </c>
      <c r="K68" s="458"/>
      <c r="L68" s="458"/>
      <c r="M68" s="458"/>
      <c r="N68" s="458"/>
      <c r="O68" s="458"/>
      <c r="P68" s="458"/>
      <c r="Q68" s="458"/>
      <c r="R68" s="458"/>
      <c r="S68" s="458"/>
      <c r="T68" s="458"/>
      <c r="U68" s="458"/>
      <c r="V68" s="458"/>
      <c r="W68" s="458"/>
    </row>
    <row r="69" spans="1:23" ht="15.75" customHeight="1">
      <c r="A69" s="458" t="s">
        <v>498</v>
      </c>
      <c r="B69" s="458"/>
      <c r="C69" s="458"/>
      <c r="D69" s="458"/>
      <c r="E69" s="458"/>
      <c r="F69" s="458"/>
      <c r="G69" s="458"/>
      <c r="H69" s="542"/>
      <c r="I69" s="542">
        <v>0</v>
      </c>
      <c r="J69" s="542">
        <v>0</v>
      </c>
      <c r="K69" s="458"/>
      <c r="L69" s="458"/>
      <c r="M69" s="458"/>
      <c r="N69" s="458"/>
      <c r="O69" s="458"/>
      <c r="P69" s="458"/>
      <c r="Q69" s="458"/>
      <c r="R69" s="458"/>
      <c r="S69" s="458"/>
      <c r="T69" s="458"/>
      <c r="U69" s="458"/>
      <c r="V69" s="458"/>
      <c r="W69" s="458"/>
    </row>
    <row r="70" spans="1:23" ht="15.75" customHeight="1">
      <c r="A70" s="458" t="s">
        <v>499</v>
      </c>
      <c r="B70" s="458"/>
      <c r="C70" s="458"/>
      <c r="D70" s="458"/>
      <c r="E70" s="458"/>
      <c r="F70" s="458"/>
      <c r="G70" s="458"/>
      <c r="H70" s="542">
        <v>4.3099999999999996</v>
      </c>
      <c r="I70" s="542"/>
      <c r="J70" s="542"/>
      <c r="K70" s="458"/>
      <c r="L70" s="458"/>
      <c r="M70" s="458"/>
      <c r="N70" s="458"/>
      <c r="O70" s="458"/>
      <c r="P70" s="458"/>
      <c r="Q70" s="458"/>
      <c r="R70" s="458"/>
      <c r="S70" s="458"/>
      <c r="T70" s="458"/>
      <c r="U70" s="458"/>
      <c r="V70" s="458"/>
      <c r="W70" s="458"/>
    </row>
    <row r="71" spans="1:23" ht="15.75" customHeight="1">
      <c r="A71" s="458" t="s">
        <v>500</v>
      </c>
      <c r="B71" s="458"/>
      <c r="C71" s="458"/>
      <c r="D71" s="458"/>
      <c r="E71" s="458"/>
      <c r="F71" s="458"/>
      <c r="G71" s="458"/>
      <c r="H71" s="543"/>
      <c r="I71" s="543"/>
      <c r="J71" s="543"/>
      <c r="K71" s="458"/>
      <c r="L71" s="458"/>
      <c r="M71" s="458"/>
      <c r="N71" s="458"/>
      <c r="O71" s="458"/>
      <c r="P71" s="458"/>
      <c r="Q71" s="458"/>
      <c r="R71" s="458"/>
      <c r="S71" s="458"/>
      <c r="T71" s="458"/>
      <c r="U71" s="458"/>
      <c r="V71" s="458"/>
      <c r="W71" s="458"/>
    </row>
    <row r="72" spans="1:23" ht="15.75" customHeight="1">
      <c r="A72" s="494" t="s">
        <v>510</v>
      </c>
      <c r="B72" s="458"/>
      <c r="C72" s="458"/>
      <c r="D72" s="458"/>
      <c r="E72" s="458"/>
      <c r="F72" s="458"/>
      <c r="G72" s="458"/>
      <c r="H72" s="626">
        <v>1648</v>
      </c>
      <c r="I72" s="544">
        <v>0</v>
      </c>
      <c r="J72" s="544">
        <v>0</v>
      </c>
      <c r="K72" s="458"/>
      <c r="L72" s="458"/>
      <c r="M72" s="458"/>
      <c r="N72" s="458"/>
      <c r="O72" s="458"/>
      <c r="P72" s="458"/>
      <c r="Q72" s="458"/>
      <c r="R72" s="458"/>
      <c r="S72" s="458"/>
      <c r="T72" s="458"/>
      <c r="U72" s="458"/>
      <c r="V72" s="458"/>
      <c r="W72" s="458"/>
    </row>
    <row r="73" spans="1:23" ht="15.75" customHeight="1" thickBot="1">
      <c r="A73" s="458" t="s">
        <v>501</v>
      </c>
      <c r="B73" s="458"/>
      <c r="C73" s="458"/>
      <c r="D73" s="458"/>
      <c r="E73" s="458"/>
      <c r="F73" s="458"/>
      <c r="G73" s="458"/>
      <c r="H73" s="545">
        <v>14.7</v>
      </c>
      <c r="I73" s="545">
        <v>0</v>
      </c>
      <c r="J73" s="545">
        <v>0</v>
      </c>
      <c r="K73" s="458"/>
      <c r="L73" s="458"/>
      <c r="M73" s="458"/>
      <c r="N73" s="458"/>
      <c r="O73" s="458"/>
      <c r="P73" s="458"/>
      <c r="Q73" s="458"/>
      <c r="R73" s="458"/>
      <c r="S73" s="458"/>
      <c r="T73" s="458"/>
      <c r="U73" s="458"/>
      <c r="V73" s="458"/>
      <c r="W73" s="458"/>
    </row>
    <row r="74" spans="1:23" ht="15.75" customHeight="1" thickBot="1">
      <c r="A74" s="494" t="s">
        <v>502</v>
      </c>
      <c r="B74" s="494"/>
      <c r="C74" s="494"/>
      <c r="D74" s="494"/>
      <c r="E74" s="494"/>
      <c r="F74" s="494"/>
      <c r="G74" s="494"/>
      <c r="H74" s="546">
        <f>H72-H73</f>
        <v>1633.3</v>
      </c>
      <c r="I74" s="546">
        <v>0</v>
      </c>
      <c r="J74" s="546">
        <v>0</v>
      </c>
      <c r="K74" s="480">
        <f>H74+I74-J74</f>
        <v>1633.3</v>
      </c>
      <c r="L74" s="539">
        <f>9814*0.14</f>
        <v>1373.96</v>
      </c>
      <c r="M74" s="539">
        <f>15145*0.14</f>
        <v>2120.3000000000002</v>
      </c>
      <c r="N74" s="540">
        <f>(M74/K74)^(1/2)-1</f>
        <v>0.13937234931996922</v>
      </c>
      <c r="O74" s="494"/>
      <c r="P74" s="494"/>
      <c r="Q74" s="494"/>
      <c r="R74" s="494"/>
      <c r="S74" s="494"/>
      <c r="T74" s="494"/>
      <c r="U74" s="494"/>
      <c r="V74" s="494"/>
      <c r="W74" s="494"/>
    </row>
    <row r="75" spans="1:23" ht="15.75" customHeight="1">
      <c r="A75" s="458"/>
      <c r="B75" s="458"/>
      <c r="C75" s="458"/>
      <c r="D75" s="458"/>
      <c r="E75" s="458"/>
      <c r="F75" s="458"/>
      <c r="G75" s="458"/>
      <c r="H75" s="481"/>
      <c r="I75" s="481"/>
      <c r="J75" s="481"/>
      <c r="K75" s="458"/>
      <c r="L75" s="458"/>
      <c r="M75" s="458"/>
      <c r="N75" s="458"/>
      <c r="O75" s="458"/>
      <c r="P75" s="458"/>
      <c r="Q75" s="458"/>
      <c r="R75" s="458"/>
      <c r="S75" s="458"/>
      <c r="T75" s="458"/>
      <c r="U75" s="458"/>
      <c r="V75" s="458"/>
      <c r="W75" s="458"/>
    </row>
    <row r="76" spans="1:23" ht="15.75" customHeight="1" thickBot="1">
      <c r="A76" s="458" t="s">
        <v>503</v>
      </c>
      <c r="B76" s="458"/>
      <c r="C76" s="458"/>
      <c r="D76" s="458"/>
      <c r="E76" s="458"/>
      <c r="F76" s="458"/>
      <c r="G76" s="458"/>
      <c r="H76" s="545">
        <f>C17</f>
        <v>1171.6339032620922</v>
      </c>
      <c r="I76" s="545">
        <v>0</v>
      </c>
      <c r="J76" s="545">
        <v>0</v>
      </c>
      <c r="K76" s="458"/>
      <c r="L76" s="458"/>
      <c r="M76" s="458"/>
      <c r="N76" s="458"/>
      <c r="O76" s="458"/>
      <c r="P76" s="458"/>
      <c r="Q76" s="458"/>
      <c r="R76" s="458"/>
      <c r="S76" s="458"/>
      <c r="T76" s="458"/>
      <c r="U76" s="458"/>
      <c r="V76" s="458"/>
      <c r="W76" s="458"/>
    </row>
    <row r="77" spans="1:23" ht="15.75" customHeight="1" thickBot="1">
      <c r="A77" s="458" t="s">
        <v>504</v>
      </c>
      <c r="B77" s="458"/>
      <c r="C77" s="458"/>
      <c r="D77" s="458"/>
      <c r="E77" s="458"/>
      <c r="F77" s="458"/>
      <c r="G77" s="458"/>
      <c r="H77" s="547">
        <f>H74/H76</f>
        <v>1.3940361365888487</v>
      </c>
      <c r="I77" s="547"/>
      <c r="J77" s="547"/>
      <c r="K77" s="548">
        <f>H77+I77-J77</f>
        <v>1.3940361365888487</v>
      </c>
      <c r="L77" s="549">
        <f>L74/H76</f>
        <v>1.1726871304889577</v>
      </c>
      <c r="M77" s="549">
        <f>M74/H76</f>
        <v>1.8096949858625704</v>
      </c>
      <c r="N77" s="458"/>
      <c r="O77" s="458"/>
      <c r="P77" s="458"/>
      <c r="Q77" s="458"/>
      <c r="R77" s="458"/>
      <c r="S77" s="458"/>
      <c r="T77" s="458"/>
      <c r="U77" s="458"/>
      <c r="V77" s="458"/>
      <c r="W77" s="458"/>
    </row>
    <row r="78" spans="1:23" ht="15.75" customHeight="1">
      <c r="A78" s="458"/>
      <c r="B78" s="458"/>
      <c r="C78" s="458"/>
      <c r="D78" s="458"/>
      <c r="E78" s="458"/>
      <c r="F78" s="458"/>
      <c r="G78" s="458"/>
      <c r="H78" s="481"/>
      <c r="I78" s="458"/>
      <c r="J78" s="458"/>
      <c r="K78" s="481"/>
      <c r="L78" s="458"/>
      <c r="M78" s="458"/>
      <c r="N78" s="458"/>
      <c r="O78" s="458"/>
      <c r="P78" s="458"/>
      <c r="Q78" s="458"/>
      <c r="R78" s="458"/>
      <c r="S78" s="458"/>
      <c r="T78" s="458"/>
      <c r="U78" s="458"/>
      <c r="V78" s="458"/>
      <c r="W78" s="458"/>
    </row>
    <row r="79" spans="1:23" ht="15.75" customHeight="1">
      <c r="A79" s="458"/>
      <c r="B79" s="458"/>
      <c r="C79" s="458"/>
      <c r="D79" s="458"/>
      <c r="E79" s="458"/>
      <c r="F79" s="458"/>
      <c r="G79" s="458"/>
      <c r="H79" s="458"/>
      <c r="I79" s="458"/>
      <c r="J79" s="458"/>
      <c r="K79" s="458"/>
      <c r="L79" s="458"/>
      <c r="M79" s="458"/>
      <c r="N79" s="458"/>
      <c r="O79" s="458"/>
      <c r="P79" s="458"/>
      <c r="Q79" s="458"/>
      <c r="R79" s="458"/>
      <c r="S79" s="458"/>
      <c r="T79" s="458"/>
      <c r="U79" s="458"/>
      <c r="V79" s="458"/>
      <c r="W79" s="458"/>
    </row>
    <row r="80" spans="1:23" ht="15.75" customHeight="1">
      <c r="A80" s="458"/>
      <c r="B80" s="458"/>
      <c r="C80" s="458"/>
      <c r="D80" s="458"/>
      <c r="E80" s="458"/>
      <c r="F80" s="458"/>
      <c r="G80" s="458"/>
      <c r="H80" s="458"/>
      <c r="I80" s="458"/>
      <c r="J80" s="458"/>
      <c r="K80" s="458"/>
      <c r="L80" s="458"/>
      <c r="M80" s="458"/>
      <c r="N80" s="458"/>
      <c r="O80" s="458"/>
      <c r="P80" s="458"/>
      <c r="Q80" s="458"/>
      <c r="R80" s="458"/>
      <c r="S80" s="458"/>
      <c r="T80" s="458"/>
      <c r="U80" s="458"/>
      <c r="V80" s="458"/>
      <c r="W80" s="458"/>
    </row>
    <row r="81" spans="1:23" ht="15.75" customHeight="1">
      <c r="A81" s="458"/>
      <c r="B81" s="458"/>
      <c r="C81" s="458"/>
      <c r="D81" s="458"/>
      <c r="E81" s="458"/>
      <c r="F81" s="458"/>
      <c r="G81" s="458"/>
      <c r="H81" s="458"/>
      <c r="I81" s="458"/>
      <c r="J81" s="458"/>
      <c r="K81" s="458"/>
      <c r="L81" s="486"/>
      <c r="M81" s="458"/>
      <c r="N81" s="458"/>
      <c r="O81" s="458"/>
      <c r="P81" s="458"/>
      <c r="Q81" s="458"/>
      <c r="R81" s="458"/>
      <c r="S81" s="458"/>
      <c r="T81" s="458"/>
      <c r="U81" s="458"/>
      <c r="V81" s="458"/>
      <c r="W81" s="458"/>
    </row>
    <row r="82" spans="1:23" ht="15.75" customHeight="1">
      <c r="A82" s="458"/>
      <c r="B82" s="458"/>
      <c r="C82" s="458"/>
      <c r="D82" s="458"/>
      <c r="E82" s="458"/>
      <c r="F82" s="458"/>
      <c r="G82" s="458"/>
      <c r="H82" s="458"/>
      <c r="I82" s="458"/>
      <c r="J82" s="458"/>
      <c r="K82" s="458"/>
      <c r="L82" s="458"/>
      <c r="M82" s="458"/>
      <c r="N82" s="458"/>
      <c r="O82" s="458"/>
      <c r="P82" s="458"/>
      <c r="Q82" s="458"/>
      <c r="R82" s="458"/>
      <c r="S82" s="458"/>
      <c r="T82" s="458"/>
      <c r="U82" s="458"/>
      <c r="V82" s="458"/>
      <c r="W82" s="458"/>
    </row>
    <row r="83" spans="1:23" ht="15.75" customHeight="1">
      <c r="A83" s="458"/>
      <c r="B83" s="458"/>
      <c r="C83" s="458"/>
      <c r="D83" s="458"/>
      <c r="E83" s="458"/>
      <c r="F83" s="458"/>
      <c r="G83" s="458"/>
      <c r="H83" s="458"/>
      <c r="I83" s="458"/>
      <c r="J83" s="458"/>
      <c r="K83" s="458"/>
      <c r="L83" s="458"/>
      <c r="M83" s="458"/>
      <c r="N83" s="458"/>
      <c r="O83" s="458"/>
      <c r="P83" s="458"/>
      <c r="Q83" s="458"/>
      <c r="R83" s="458"/>
      <c r="S83" s="458"/>
      <c r="T83" s="458"/>
      <c r="U83" s="458"/>
      <c r="V83" s="458"/>
      <c r="W83" s="458"/>
    </row>
    <row r="84" spans="1:23" ht="15.75" customHeight="1">
      <c r="A84" s="458"/>
      <c r="B84" s="458"/>
      <c r="C84" s="458"/>
      <c r="D84" s="458"/>
      <c r="E84" s="458"/>
      <c r="F84" s="458"/>
      <c r="G84" s="458"/>
      <c r="H84" s="458"/>
      <c r="I84" s="458"/>
      <c r="J84" s="458"/>
      <c r="K84" s="458"/>
      <c r="L84" s="458"/>
      <c r="M84" s="458"/>
      <c r="N84" s="458"/>
      <c r="O84" s="458"/>
      <c r="P84" s="458"/>
      <c r="Q84" s="458"/>
      <c r="R84" s="458"/>
      <c r="S84" s="458"/>
      <c r="T84" s="458"/>
      <c r="U84" s="458"/>
      <c r="V84" s="458"/>
      <c r="W84" s="458"/>
    </row>
    <row r="85" spans="1:23" ht="15.75" customHeight="1">
      <c r="A85" s="458"/>
      <c r="B85" s="458"/>
      <c r="C85" s="458"/>
      <c r="D85" s="458"/>
      <c r="E85" s="458"/>
      <c r="F85" s="458"/>
      <c r="G85" s="458"/>
      <c r="H85" s="458"/>
      <c r="I85" s="458"/>
      <c r="J85" s="458"/>
      <c r="K85" s="458"/>
      <c r="L85" s="458"/>
      <c r="M85" s="458"/>
      <c r="N85" s="458"/>
      <c r="O85" s="458"/>
      <c r="P85" s="458"/>
      <c r="Q85" s="458"/>
      <c r="R85" s="458"/>
      <c r="S85" s="458"/>
      <c r="T85" s="458"/>
      <c r="U85" s="458"/>
      <c r="V85" s="458"/>
      <c r="W85" s="458"/>
    </row>
    <row r="86" spans="1:23" ht="15.75" customHeight="1">
      <c r="A86" s="458"/>
      <c r="B86" s="458"/>
      <c r="C86" s="458"/>
      <c r="D86" s="458"/>
      <c r="E86" s="458"/>
      <c r="F86" s="458"/>
      <c r="G86" s="458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  <c r="S86" s="458"/>
      <c r="T86" s="458"/>
      <c r="U86" s="458"/>
      <c r="V86" s="458"/>
      <c r="W86" s="458"/>
    </row>
    <row r="87" spans="1:23" ht="15.75" customHeight="1">
      <c r="A87" s="458"/>
      <c r="B87" s="458"/>
      <c r="C87" s="458"/>
      <c r="D87" s="458"/>
      <c r="E87" s="458"/>
      <c r="F87" s="458"/>
      <c r="G87" s="458"/>
      <c r="H87" s="458"/>
      <c r="I87" s="458"/>
      <c r="J87" s="458"/>
      <c r="K87" s="458"/>
      <c r="L87" s="458"/>
      <c r="M87" s="458"/>
      <c r="N87" s="458"/>
      <c r="O87" s="458"/>
      <c r="P87" s="458"/>
      <c r="Q87" s="458"/>
      <c r="R87" s="458"/>
      <c r="S87" s="458"/>
      <c r="T87" s="458"/>
      <c r="U87" s="458"/>
      <c r="V87" s="458"/>
      <c r="W87" s="458"/>
    </row>
    <row r="88" spans="1:23" ht="15.75" customHeight="1">
      <c r="A88" s="458"/>
      <c r="B88" s="458"/>
      <c r="C88" s="458"/>
      <c r="D88" s="458"/>
      <c r="E88" s="458"/>
      <c r="F88" s="458"/>
      <c r="G88" s="458"/>
      <c r="H88" s="458"/>
      <c r="I88" s="458"/>
      <c r="J88" s="458"/>
      <c r="K88" s="458"/>
      <c r="L88" s="458"/>
      <c r="M88" s="458"/>
      <c r="N88" s="458"/>
      <c r="O88" s="458"/>
      <c r="P88" s="458"/>
      <c r="Q88" s="458"/>
      <c r="R88" s="458"/>
      <c r="S88" s="458"/>
      <c r="T88" s="458"/>
      <c r="U88" s="458"/>
      <c r="V88" s="458"/>
      <c r="W88" s="458"/>
    </row>
    <row r="89" spans="1:23" ht="15.75" customHeight="1">
      <c r="A89" s="458"/>
      <c r="B89" s="458"/>
      <c r="C89" s="458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58"/>
      <c r="R89" s="458"/>
      <c r="S89" s="458"/>
      <c r="T89" s="458"/>
      <c r="U89" s="458"/>
      <c r="V89" s="458"/>
      <c r="W89" s="458"/>
    </row>
    <row r="90" spans="1:23" ht="15.75" customHeight="1">
      <c r="A90" s="458"/>
      <c r="B90" s="458"/>
      <c r="C90" s="458"/>
      <c r="D90" s="458"/>
      <c r="E90" s="458"/>
      <c r="F90" s="458"/>
      <c r="G90" s="458"/>
      <c r="H90" s="458"/>
      <c r="I90" s="458"/>
      <c r="J90" s="458"/>
      <c r="K90" s="458"/>
      <c r="L90" s="458"/>
      <c r="M90" s="458"/>
      <c r="N90" s="458"/>
      <c r="O90" s="458"/>
      <c r="P90" s="458"/>
      <c r="Q90" s="458"/>
      <c r="R90" s="458"/>
      <c r="S90" s="458"/>
      <c r="T90" s="458"/>
      <c r="U90" s="458"/>
      <c r="V90" s="458"/>
      <c r="W90" s="458"/>
    </row>
    <row r="91" spans="1:23" ht="15.75" customHeight="1">
      <c r="A91" s="458"/>
      <c r="B91" s="458"/>
      <c r="C91" s="458"/>
      <c r="D91" s="458"/>
      <c r="E91" s="458"/>
      <c r="F91" s="458"/>
      <c r="G91" s="458"/>
      <c r="H91" s="458"/>
      <c r="I91" s="458"/>
      <c r="J91" s="458"/>
      <c r="K91" s="458"/>
      <c r="L91" s="458"/>
      <c r="M91" s="458"/>
      <c r="N91" s="458"/>
      <c r="O91" s="458"/>
      <c r="P91" s="458"/>
      <c r="Q91" s="458"/>
      <c r="R91" s="458"/>
      <c r="S91" s="458"/>
      <c r="T91" s="458"/>
      <c r="U91" s="458"/>
      <c r="V91" s="458"/>
      <c r="W91" s="458"/>
    </row>
    <row r="92" spans="1:23" ht="15.75" customHeight="1">
      <c r="A92" s="458"/>
      <c r="B92" s="458"/>
      <c r="C92" s="458"/>
      <c r="D92" s="458"/>
      <c r="E92" s="458"/>
      <c r="F92" s="458"/>
      <c r="G92" s="458"/>
      <c r="H92" s="458"/>
      <c r="I92" s="458"/>
      <c r="J92" s="458"/>
      <c r="K92" s="458"/>
      <c r="L92" s="458"/>
      <c r="M92" s="458"/>
      <c r="N92" s="458"/>
      <c r="O92" s="458"/>
      <c r="P92" s="458"/>
      <c r="Q92" s="458"/>
      <c r="R92" s="458"/>
      <c r="S92" s="458"/>
      <c r="T92" s="458"/>
      <c r="U92" s="458"/>
      <c r="V92" s="458"/>
      <c r="W92" s="458"/>
    </row>
    <row r="93" spans="1:23" ht="15.75" customHeight="1">
      <c r="A93" s="458"/>
      <c r="B93" s="458"/>
      <c r="C93" s="458"/>
      <c r="D93" s="458"/>
      <c r="E93" s="458"/>
      <c r="F93" s="458"/>
      <c r="G93" s="458"/>
      <c r="H93" s="458"/>
      <c r="I93" s="458"/>
      <c r="J93" s="458"/>
      <c r="K93" s="458"/>
      <c r="L93" s="458"/>
      <c r="M93" s="458"/>
      <c r="N93" s="458"/>
      <c r="O93" s="458"/>
      <c r="P93" s="458"/>
      <c r="Q93" s="458"/>
      <c r="R93" s="458"/>
      <c r="S93" s="458"/>
      <c r="T93" s="458"/>
      <c r="U93" s="458"/>
      <c r="V93" s="458"/>
      <c r="W93" s="458"/>
    </row>
    <row r="94" spans="1:23" ht="15.75" customHeight="1">
      <c r="A94" s="458"/>
      <c r="B94" s="458"/>
      <c r="C94" s="458"/>
      <c r="D94" s="458"/>
      <c r="E94" s="458"/>
      <c r="F94" s="458"/>
      <c r="G94" s="458"/>
      <c r="H94" s="458"/>
      <c r="I94" s="458"/>
      <c r="J94" s="458"/>
      <c r="K94" s="458"/>
      <c r="L94" s="458"/>
      <c r="M94" s="458"/>
      <c r="N94" s="458"/>
      <c r="O94" s="458"/>
      <c r="P94" s="458"/>
      <c r="Q94" s="458"/>
      <c r="R94" s="458"/>
      <c r="S94" s="458"/>
      <c r="T94" s="458"/>
      <c r="U94" s="458"/>
      <c r="V94" s="458"/>
      <c r="W94" s="458"/>
    </row>
    <row r="95" spans="1:23" ht="15.75" customHeight="1">
      <c r="A95" s="458"/>
      <c r="B95" s="458"/>
      <c r="C95" s="458"/>
      <c r="D95" s="458"/>
      <c r="E95" s="458"/>
      <c r="F95" s="458"/>
      <c r="G95" s="458"/>
      <c r="H95" s="458"/>
      <c r="I95" s="458"/>
      <c r="J95" s="458"/>
      <c r="K95" s="458"/>
      <c r="L95" s="458"/>
      <c r="M95" s="458"/>
      <c r="N95" s="458"/>
      <c r="O95" s="458"/>
      <c r="P95" s="458"/>
      <c r="Q95" s="458"/>
      <c r="R95" s="458"/>
      <c r="S95" s="458"/>
      <c r="T95" s="458"/>
      <c r="U95" s="458"/>
      <c r="V95" s="458"/>
      <c r="W95" s="458"/>
    </row>
    <row r="96" spans="1:23" ht="15.75" customHeight="1">
      <c r="A96" s="458"/>
      <c r="B96" s="458"/>
      <c r="C96" s="458"/>
      <c r="D96" s="458"/>
      <c r="E96" s="458"/>
      <c r="F96" s="458"/>
      <c r="G96" s="458"/>
      <c r="H96" s="458"/>
      <c r="I96" s="458"/>
      <c r="J96" s="458"/>
      <c r="K96" s="458"/>
      <c r="L96" s="458"/>
      <c r="M96" s="458"/>
      <c r="N96" s="458"/>
      <c r="O96" s="458"/>
      <c r="P96" s="458"/>
      <c r="Q96" s="458"/>
      <c r="R96" s="458"/>
      <c r="S96" s="458"/>
      <c r="T96" s="458"/>
      <c r="U96" s="458"/>
      <c r="V96" s="458"/>
      <c r="W96" s="458"/>
    </row>
    <row r="97" spans="1:23" ht="15.75" customHeight="1">
      <c r="A97" s="458"/>
      <c r="B97" s="458"/>
      <c r="C97" s="458"/>
      <c r="D97" s="458"/>
      <c r="E97" s="458"/>
      <c r="F97" s="458"/>
      <c r="G97" s="458"/>
      <c r="H97" s="458"/>
      <c r="I97" s="458"/>
      <c r="J97" s="458"/>
      <c r="K97" s="458"/>
      <c r="L97" s="458"/>
      <c r="M97" s="458"/>
      <c r="N97" s="458"/>
      <c r="O97" s="458"/>
      <c r="P97" s="458"/>
      <c r="Q97" s="458"/>
      <c r="R97" s="458"/>
      <c r="S97" s="458"/>
      <c r="T97" s="458"/>
      <c r="U97" s="458"/>
      <c r="V97" s="458"/>
      <c r="W97" s="458"/>
    </row>
    <row r="98" spans="1:23" ht="15.75" customHeight="1">
      <c r="A98" s="458"/>
      <c r="B98" s="458"/>
      <c r="C98" s="458"/>
      <c r="D98" s="458"/>
      <c r="E98" s="458"/>
      <c r="F98" s="458"/>
      <c r="G98" s="458"/>
      <c r="H98" s="458"/>
      <c r="I98" s="458"/>
      <c r="J98" s="458"/>
      <c r="K98" s="458"/>
      <c r="L98" s="458"/>
      <c r="M98" s="458"/>
      <c r="N98" s="458"/>
      <c r="O98" s="458"/>
      <c r="P98" s="458"/>
      <c r="Q98" s="458"/>
      <c r="R98" s="458"/>
      <c r="S98" s="458"/>
      <c r="T98" s="458"/>
      <c r="U98" s="458"/>
      <c r="V98" s="458"/>
      <c r="W98" s="458"/>
    </row>
    <row r="99" spans="1:23" ht="15.75" customHeight="1">
      <c r="A99" s="458"/>
      <c r="B99" s="458"/>
      <c r="C99" s="458"/>
      <c r="D99" s="458"/>
      <c r="E99" s="458"/>
      <c r="F99" s="458"/>
      <c r="G99" s="458"/>
      <c r="H99" s="458"/>
      <c r="I99" s="458"/>
      <c r="J99" s="458"/>
      <c r="K99" s="458"/>
      <c r="L99" s="458"/>
      <c r="M99" s="458"/>
      <c r="N99" s="458"/>
      <c r="O99" s="458"/>
      <c r="P99" s="458"/>
      <c r="Q99" s="458"/>
      <c r="R99" s="458"/>
      <c r="S99" s="458"/>
      <c r="T99" s="458"/>
      <c r="U99" s="458"/>
      <c r="V99" s="458"/>
      <c r="W99" s="458"/>
    </row>
    <row r="100" spans="1:23" ht="15.75" customHeight="1">
      <c r="A100" s="458"/>
      <c r="B100" s="458"/>
      <c r="C100" s="458"/>
      <c r="D100" s="458"/>
      <c r="E100" s="458"/>
      <c r="F100" s="458"/>
      <c r="G100" s="458"/>
      <c r="H100" s="458"/>
      <c r="I100" s="458"/>
      <c r="J100" s="458"/>
      <c r="K100" s="458"/>
      <c r="L100" s="458"/>
      <c r="M100" s="458"/>
      <c r="N100" s="458"/>
      <c r="O100" s="458"/>
      <c r="P100" s="458"/>
      <c r="Q100" s="458"/>
      <c r="R100" s="458"/>
      <c r="S100" s="458"/>
      <c r="T100" s="458"/>
      <c r="U100" s="458"/>
      <c r="V100" s="458"/>
      <c r="W100" s="458"/>
    </row>
    <row r="101" spans="1:23" ht="15.75" customHeight="1">
      <c r="A101" s="458"/>
      <c r="B101" s="458"/>
      <c r="C101" s="458"/>
      <c r="D101" s="458"/>
      <c r="E101" s="458"/>
      <c r="F101" s="458"/>
      <c r="G101" s="458"/>
      <c r="H101" s="458"/>
      <c r="I101" s="458"/>
      <c r="J101" s="458"/>
      <c r="K101" s="458"/>
      <c r="L101" s="458"/>
      <c r="M101" s="458"/>
      <c r="N101" s="458"/>
      <c r="O101" s="458"/>
      <c r="P101" s="458"/>
      <c r="Q101" s="458"/>
      <c r="R101" s="458"/>
      <c r="S101" s="458"/>
      <c r="T101" s="458"/>
      <c r="U101" s="458"/>
      <c r="V101" s="458"/>
      <c r="W101" s="458"/>
    </row>
    <row r="102" spans="1:23" ht="15.75" customHeight="1">
      <c r="A102" s="458"/>
      <c r="B102" s="458"/>
      <c r="C102" s="458"/>
      <c r="D102" s="458"/>
      <c r="E102" s="458"/>
      <c r="F102" s="458"/>
      <c r="G102" s="458"/>
      <c r="H102" s="458"/>
      <c r="I102" s="458"/>
      <c r="J102" s="458"/>
      <c r="K102" s="458"/>
      <c r="L102" s="458"/>
      <c r="M102" s="458"/>
      <c r="N102" s="458"/>
      <c r="O102" s="458"/>
      <c r="P102" s="458"/>
      <c r="Q102" s="458"/>
      <c r="R102" s="458"/>
      <c r="S102" s="458"/>
      <c r="T102" s="458"/>
      <c r="U102" s="458"/>
      <c r="V102" s="458"/>
      <c r="W102" s="458"/>
    </row>
    <row r="103" spans="1:23" ht="15.75" customHeight="1">
      <c r="A103" s="458"/>
      <c r="B103" s="458"/>
      <c r="C103" s="458"/>
      <c r="D103" s="458"/>
      <c r="E103" s="458"/>
      <c r="F103" s="458"/>
      <c r="G103" s="458"/>
      <c r="H103" s="458"/>
      <c r="I103" s="458"/>
      <c r="J103" s="458"/>
      <c r="K103" s="458"/>
      <c r="L103" s="458"/>
      <c r="M103" s="458"/>
      <c r="N103" s="458"/>
      <c r="O103" s="458"/>
      <c r="P103" s="458"/>
      <c r="Q103" s="458"/>
      <c r="R103" s="458"/>
      <c r="S103" s="458"/>
      <c r="T103" s="458"/>
      <c r="U103" s="458"/>
      <c r="V103" s="458"/>
      <c r="W103" s="458"/>
    </row>
    <row r="104" spans="1:23" ht="15.75" customHeight="1">
      <c r="A104" s="458"/>
      <c r="B104" s="458"/>
      <c r="C104" s="458"/>
      <c r="D104" s="458"/>
      <c r="E104" s="458"/>
      <c r="F104" s="458"/>
      <c r="G104" s="458"/>
      <c r="H104" s="458"/>
      <c r="I104" s="458"/>
      <c r="J104" s="458"/>
      <c r="K104" s="458"/>
      <c r="L104" s="458"/>
      <c r="M104" s="458"/>
      <c r="N104" s="458"/>
      <c r="O104" s="458"/>
      <c r="P104" s="458"/>
      <c r="Q104" s="458"/>
      <c r="R104" s="458"/>
      <c r="S104" s="458"/>
      <c r="T104" s="458"/>
      <c r="U104" s="458"/>
      <c r="V104" s="458"/>
      <c r="W104" s="458"/>
    </row>
    <row r="105" spans="1:23" ht="15.75" customHeight="1">
      <c r="A105" s="458"/>
      <c r="B105" s="458"/>
      <c r="C105" s="458"/>
      <c r="D105" s="458"/>
      <c r="E105" s="458"/>
      <c r="F105" s="458"/>
      <c r="G105" s="458"/>
      <c r="H105" s="458"/>
      <c r="I105" s="458"/>
      <c r="J105" s="458"/>
      <c r="K105" s="458"/>
      <c r="L105" s="458"/>
      <c r="M105" s="458"/>
      <c r="N105" s="458"/>
      <c r="O105" s="458"/>
      <c r="P105" s="458"/>
      <c r="Q105" s="458"/>
      <c r="R105" s="458"/>
      <c r="S105" s="458"/>
      <c r="T105" s="458"/>
      <c r="U105" s="458"/>
      <c r="V105" s="458"/>
      <c r="W105" s="458"/>
    </row>
    <row r="106" spans="1:23" ht="15.75" customHeight="1">
      <c r="A106" s="458"/>
      <c r="B106" s="458"/>
      <c r="C106" s="458"/>
      <c r="D106" s="458"/>
      <c r="E106" s="458"/>
      <c r="F106" s="458"/>
      <c r="G106" s="458"/>
      <c r="H106" s="458"/>
      <c r="I106" s="458"/>
      <c r="J106" s="458"/>
      <c r="K106" s="458"/>
      <c r="L106" s="458"/>
      <c r="M106" s="458"/>
      <c r="N106" s="458"/>
      <c r="O106" s="458"/>
      <c r="P106" s="458"/>
      <c r="Q106" s="458"/>
      <c r="R106" s="458"/>
      <c r="S106" s="458"/>
      <c r="T106" s="458"/>
      <c r="U106" s="458"/>
      <c r="V106" s="458"/>
      <c r="W106" s="458"/>
    </row>
    <row r="107" spans="1:23" ht="15.75" customHeight="1">
      <c r="A107" s="458"/>
      <c r="B107" s="458"/>
      <c r="C107" s="458"/>
      <c r="D107" s="458"/>
      <c r="E107" s="458"/>
      <c r="F107" s="458"/>
      <c r="G107" s="458"/>
      <c r="H107" s="458"/>
      <c r="I107" s="458"/>
      <c r="J107" s="458"/>
      <c r="K107" s="458"/>
      <c r="L107" s="458"/>
      <c r="M107" s="458"/>
      <c r="N107" s="458"/>
      <c r="O107" s="458"/>
      <c r="P107" s="458"/>
      <c r="Q107" s="458"/>
      <c r="R107" s="458"/>
      <c r="S107" s="458"/>
      <c r="T107" s="458"/>
      <c r="U107" s="458"/>
      <c r="V107" s="458"/>
      <c r="W107" s="458"/>
    </row>
    <row r="108" spans="1:23" ht="15.75" customHeight="1">
      <c r="A108" s="458"/>
      <c r="B108" s="458"/>
      <c r="C108" s="458"/>
      <c r="D108" s="458"/>
      <c r="E108" s="458"/>
      <c r="F108" s="458"/>
      <c r="G108" s="458"/>
      <c r="H108" s="458"/>
      <c r="I108" s="458"/>
      <c r="J108" s="458"/>
      <c r="K108" s="458"/>
      <c r="L108" s="458"/>
      <c r="M108" s="458"/>
      <c r="N108" s="458"/>
      <c r="O108" s="458"/>
      <c r="P108" s="458"/>
      <c r="Q108" s="458"/>
      <c r="R108" s="458"/>
      <c r="S108" s="458"/>
      <c r="T108" s="458"/>
      <c r="U108" s="458"/>
      <c r="V108" s="458"/>
      <c r="W108" s="458"/>
    </row>
    <row r="109" spans="1:23" ht="15.75" customHeight="1">
      <c r="A109" s="458"/>
      <c r="B109" s="458"/>
      <c r="C109" s="458"/>
      <c r="D109" s="458"/>
      <c r="E109" s="458"/>
      <c r="F109" s="458"/>
      <c r="G109" s="458"/>
      <c r="H109" s="458"/>
      <c r="I109" s="458"/>
      <c r="J109" s="458"/>
      <c r="K109" s="458"/>
      <c r="L109" s="458"/>
      <c r="M109" s="458"/>
      <c r="N109" s="458"/>
      <c r="O109" s="458"/>
      <c r="P109" s="458"/>
      <c r="Q109" s="458"/>
      <c r="R109" s="458"/>
      <c r="S109" s="458"/>
      <c r="T109" s="458"/>
      <c r="U109" s="458"/>
      <c r="V109" s="458"/>
      <c r="W109" s="458"/>
    </row>
    <row r="110" spans="1:23" ht="15.75" customHeight="1">
      <c r="A110" s="458"/>
      <c r="B110" s="458"/>
      <c r="C110" s="458"/>
      <c r="D110" s="458"/>
      <c r="E110" s="458"/>
      <c r="F110" s="458"/>
      <c r="G110" s="458"/>
      <c r="H110" s="458"/>
      <c r="I110" s="458"/>
      <c r="J110" s="458"/>
      <c r="K110" s="458"/>
      <c r="L110" s="458"/>
      <c r="M110" s="458"/>
      <c r="N110" s="458"/>
      <c r="O110" s="458"/>
      <c r="P110" s="458"/>
      <c r="Q110" s="458"/>
      <c r="R110" s="458"/>
      <c r="S110" s="458"/>
      <c r="T110" s="458"/>
      <c r="U110" s="458"/>
      <c r="V110" s="458"/>
      <c r="W110" s="458"/>
    </row>
    <row r="111" spans="1:23" ht="15.75" customHeight="1">
      <c r="A111" s="458"/>
      <c r="B111" s="458"/>
      <c r="C111" s="458"/>
      <c r="D111" s="458"/>
      <c r="E111" s="458"/>
      <c r="F111" s="458"/>
      <c r="G111" s="458"/>
      <c r="H111" s="458"/>
      <c r="I111" s="458"/>
      <c r="J111" s="458"/>
      <c r="K111" s="458"/>
      <c r="L111" s="458"/>
      <c r="M111" s="458"/>
      <c r="N111" s="458"/>
      <c r="O111" s="458"/>
      <c r="P111" s="458"/>
      <c r="Q111" s="458"/>
      <c r="R111" s="458"/>
      <c r="S111" s="458"/>
      <c r="T111" s="458"/>
      <c r="U111" s="458"/>
      <c r="V111" s="458"/>
      <c r="W111" s="458"/>
    </row>
    <row r="112" spans="1:23" ht="15.75" customHeight="1">
      <c r="A112" s="458"/>
      <c r="B112" s="458"/>
      <c r="C112" s="458"/>
      <c r="D112" s="458"/>
      <c r="E112" s="458"/>
      <c r="F112" s="458"/>
      <c r="G112" s="458"/>
      <c r="H112" s="458"/>
      <c r="I112" s="458"/>
      <c r="J112" s="458"/>
      <c r="K112" s="458"/>
      <c r="L112" s="458"/>
      <c r="M112" s="458"/>
      <c r="N112" s="458"/>
      <c r="O112" s="458"/>
      <c r="P112" s="458"/>
      <c r="Q112" s="458"/>
      <c r="R112" s="458"/>
      <c r="S112" s="458"/>
      <c r="T112" s="458"/>
      <c r="U112" s="458"/>
      <c r="V112" s="458"/>
      <c r="W112" s="458"/>
    </row>
    <row r="113" spans="1:23" ht="15.75" customHeight="1">
      <c r="A113" s="458"/>
      <c r="B113" s="458"/>
      <c r="C113" s="458"/>
      <c r="D113" s="458"/>
      <c r="E113" s="458"/>
      <c r="F113" s="458"/>
      <c r="G113" s="458"/>
      <c r="H113" s="458"/>
      <c r="I113" s="458"/>
      <c r="J113" s="458"/>
      <c r="K113" s="458"/>
      <c r="L113" s="458"/>
      <c r="M113" s="458"/>
      <c r="N113" s="458"/>
      <c r="O113" s="458"/>
      <c r="P113" s="458"/>
      <c r="Q113" s="458"/>
      <c r="R113" s="458"/>
      <c r="S113" s="458"/>
      <c r="T113" s="458"/>
      <c r="U113" s="458"/>
      <c r="V113" s="458"/>
      <c r="W113" s="458"/>
    </row>
    <row r="114" spans="1:23" ht="15.75" customHeight="1">
      <c r="A114" s="458"/>
      <c r="B114" s="458"/>
      <c r="C114" s="458"/>
      <c r="D114" s="458"/>
      <c r="E114" s="458"/>
      <c r="F114" s="458"/>
      <c r="G114" s="458"/>
      <c r="H114" s="458"/>
      <c r="I114" s="458"/>
      <c r="J114" s="458"/>
      <c r="K114" s="458"/>
      <c r="L114" s="458"/>
      <c r="M114" s="458"/>
      <c r="N114" s="458"/>
      <c r="O114" s="458"/>
      <c r="P114" s="458"/>
      <c r="Q114" s="458"/>
      <c r="R114" s="458"/>
      <c r="S114" s="458"/>
      <c r="T114" s="458"/>
      <c r="U114" s="458"/>
      <c r="V114" s="458"/>
      <c r="W114" s="458"/>
    </row>
    <row r="115" spans="1:23" ht="15.75" customHeight="1">
      <c r="A115" s="458"/>
      <c r="B115" s="458"/>
      <c r="C115" s="458"/>
      <c r="D115" s="458"/>
      <c r="E115" s="458"/>
      <c r="F115" s="458"/>
      <c r="G115" s="458"/>
      <c r="H115" s="458"/>
      <c r="I115" s="458"/>
      <c r="J115" s="458"/>
      <c r="K115" s="458"/>
      <c r="L115" s="458"/>
      <c r="M115" s="458"/>
      <c r="N115" s="458"/>
      <c r="O115" s="458"/>
      <c r="P115" s="458"/>
      <c r="Q115" s="458"/>
      <c r="R115" s="458"/>
      <c r="S115" s="458"/>
      <c r="T115" s="458"/>
      <c r="U115" s="458"/>
      <c r="V115" s="458"/>
      <c r="W115" s="458"/>
    </row>
    <row r="116" spans="1:23" ht="15.75" customHeight="1">
      <c r="A116" s="458"/>
      <c r="B116" s="458"/>
      <c r="C116" s="458"/>
      <c r="D116" s="458"/>
      <c r="E116" s="458"/>
      <c r="F116" s="458"/>
      <c r="G116" s="458"/>
      <c r="H116" s="458"/>
      <c r="I116" s="458"/>
      <c r="J116" s="458"/>
      <c r="K116" s="458"/>
      <c r="L116" s="458"/>
      <c r="M116" s="458"/>
      <c r="N116" s="458"/>
      <c r="O116" s="458"/>
      <c r="P116" s="458"/>
      <c r="Q116" s="458"/>
      <c r="R116" s="458"/>
      <c r="S116" s="458"/>
      <c r="T116" s="458"/>
      <c r="U116" s="458"/>
      <c r="V116" s="458"/>
      <c r="W116" s="458"/>
    </row>
    <row r="117" spans="1:23" ht="15.75" customHeight="1">
      <c r="A117" s="458"/>
      <c r="B117" s="458"/>
      <c r="C117" s="458"/>
      <c r="D117" s="458"/>
      <c r="E117" s="458"/>
      <c r="F117" s="458"/>
      <c r="G117" s="458"/>
      <c r="H117" s="458"/>
      <c r="I117" s="458"/>
      <c r="J117" s="458"/>
      <c r="K117" s="458"/>
      <c r="L117" s="458"/>
      <c r="M117" s="458"/>
      <c r="N117" s="458"/>
      <c r="O117" s="458"/>
      <c r="P117" s="458"/>
      <c r="Q117" s="458"/>
      <c r="R117" s="458"/>
      <c r="S117" s="458"/>
      <c r="T117" s="458"/>
      <c r="U117" s="458"/>
      <c r="V117" s="458"/>
      <c r="W117" s="458"/>
    </row>
    <row r="118" spans="1:23" ht="15.75" customHeight="1">
      <c r="A118" s="458"/>
      <c r="B118" s="458"/>
      <c r="C118" s="458"/>
      <c r="D118" s="458"/>
      <c r="E118" s="458"/>
      <c r="F118" s="458"/>
      <c r="G118" s="458"/>
      <c r="H118" s="458"/>
      <c r="I118" s="458"/>
      <c r="J118" s="458"/>
      <c r="K118" s="458"/>
      <c r="L118" s="458"/>
      <c r="M118" s="458"/>
      <c r="N118" s="458"/>
      <c r="O118" s="458"/>
      <c r="P118" s="458"/>
      <c r="Q118" s="458"/>
      <c r="R118" s="458"/>
      <c r="S118" s="458"/>
      <c r="T118" s="458"/>
      <c r="U118" s="458"/>
      <c r="V118" s="458"/>
      <c r="W118" s="458"/>
    </row>
    <row r="119" spans="1:23" ht="15.75" customHeight="1">
      <c r="A119" s="458"/>
      <c r="B119" s="458"/>
      <c r="C119" s="458"/>
      <c r="D119" s="458"/>
      <c r="E119" s="458"/>
      <c r="F119" s="458"/>
      <c r="G119" s="458"/>
      <c r="H119" s="458"/>
      <c r="I119" s="458"/>
      <c r="J119" s="458"/>
      <c r="K119" s="458"/>
      <c r="L119" s="458"/>
      <c r="M119" s="458"/>
      <c r="N119" s="458"/>
      <c r="O119" s="458"/>
      <c r="P119" s="458"/>
      <c r="Q119" s="458"/>
      <c r="R119" s="458"/>
      <c r="S119" s="458"/>
      <c r="T119" s="458"/>
      <c r="U119" s="458"/>
      <c r="V119" s="458"/>
      <c r="W119" s="458"/>
    </row>
    <row r="120" spans="1:23" ht="15.75" customHeight="1">
      <c r="A120" s="458"/>
      <c r="B120" s="458"/>
      <c r="C120" s="458"/>
      <c r="D120" s="458"/>
      <c r="E120" s="458"/>
      <c r="F120" s="458"/>
      <c r="G120" s="458"/>
      <c r="H120" s="458"/>
      <c r="I120" s="458"/>
      <c r="J120" s="458"/>
      <c r="K120" s="458"/>
      <c r="L120" s="458"/>
      <c r="M120" s="458"/>
      <c r="N120" s="458"/>
      <c r="O120" s="458"/>
      <c r="P120" s="458"/>
      <c r="Q120" s="458"/>
      <c r="R120" s="458"/>
      <c r="S120" s="458"/>
      <c r="T120" s="458"/>
      <c r="U120" s="458"/>
      <c r="V120" s="458"/>
      <c r="W120" s="458"/>
    </row>
    <row r="121" spans="1:23" ht="15.75" customHeight="1">
      <c r="A121" s="458"/>
      <c r="B121" s="458"/>
      <c r="C121" s="458"/>
      <c r="D121" s="458"/>
      <c r="E121" s="458"/>
      <c r="F121" s="458"/>
      <c r="G121" s="458"/>
      <c r="H121" s="458"/>
      <c r="I121" s="458"/>
      <c r="J121" s="458"/>
      <c r="K121" s="458"/>
      <c r="L121" s="458"/>
      <c r="M121" s="458"/>
      <c r="N121" s="458"/>
      <c r="O121" s="458"/>
      <c r="P121" s="458"/>
      <c r="Q121" s="458"/>
      <c r="R121" s="458"/>
      <c r="S121" s="458"/>
      <c r="T121" s="458"/>
      <c r="U121" s="458"/>
      <c r="V121" s="458"/>
      <c r="W121" s="458"/>
    </row>
    <row r="122" spans="1:23" ht="15.75" customHeight="1">
      <c r="A122" s="458"/>
      <c r="B122" s="458"/>
      <c r="C122" s="458"/>
      <c r="D122" s="458"/>
      <c r="E122" s="458"/>
      <c r="F122" s="458"/>
      <c r="G122" s="458"/>
      <c r="H122" s="458"/>
      <c r="I122" s="458"/>
      <c r="J122" s="458"/>
      <c r="K122" s="458"/>
      <c r="L122" s="458"/>
      <c r="M122" s="458"/>
      <c r="N122" s="458"/>
      <c r="O122" s="458"/>
      <c r="P122" s="458"/>
      <c r="Q122" s="458"/>
      <c r="R122" s="458"/>
      <c r="S122" s="458"/>
      <c r="T122" s="458"/>
      <c r="U122" s="458"/>
      <c r="V122" s="458"/>
      <c r="W122" s="458"/>
    </row>
    <row r="123" spans="1:23" ht="15.75" customHeight="1">
      <c r="A123" s="458"/>
      <c r="B123" s="458"/>
      <c r="C123" s="458"/>
      <c r="D123" s="458"/>
      <c r="E123" s="458"/>
      <c r="F123" s="458"/>
      <c r="G123" s="458"/>
      <c r="H123" s="458"/>
      <c r="I123" s="458"/>
      <c r="J123" s="458"/>
      <c r="K123" s="458"/>
      <c r="L123" s="458"/>
      <c r="M123" s="458"/>
      <c r="N123" s="458"/>
      <c r="O123" s="458"/>
      <c r="P123" s="458"/>
      <c r="Q123" s="458"/>
      <c r="R123" s="458"/>
      <c r="S123" s="458"/>
      <c r="T123" s="458"/>
      <c r="U123" s="458"/>
      <c r="V123" s="458"/>
      <c r="W123" s="458"/>
    </row>
    <row r="124" spans="1:23" ht="15.75" customHeight="1">
      <c r="A124" s="458"/>
      <c r="B124" s="458"/>
      <c r="C124" s="458"/>
      <c r="D124" s="458"/>
      <c r="E124" s="458"/>
      <c r="F124" s="458"/>
      <c r="G124" s="458"/>
      <c r="H124" s="458"/>
      <c r="I124" s="458"/>
      <c r="J124" s="458"/>
      <c r="K124" s="458"/>
      <c r="L124" s="458"/>
      <c r="M124" s="458"/>
      <c r="N124" s="458"/>
      <c r="O124" s="458"/>
      <c r="P124" s="458"/>
      <c r="Q124" s="458"/>
      <c r="R124" s="458"/>
      <c r="S124" s="458"/>
      <c r="T124" s="458"/>
      <c r="U124" s="458"/>
      <c r="V124" s="458"/>
      <c r="W124" s="458"/>
    </row>
    <row r="125" spans="1:23" ht="15.75" customHeight="1">
      <c r="A125" s="458"/>
      <c r="B125" s="458"/>
      <c r="C125" s="458"/>
      <c r="D125" s="458"/>
      <c r="E125" s="458"/>
      <c r="F125" s="458"/>
      <c r="G125" s="458"/>
      <c r="H125" s="458"/>
      <c r="I125" s="458"/>
      <c r="J125" s="458"/>
      <c r="K125" s="458"/>
      <c r="L125" s="458"/>
      <c r="M125" s="458"/>
      <c r="N125" s="458"/>
      <c r="O125" s="458"/>
      <c r="P125" s="458"/>
      <c r="Q125" s="458"/>
      <c r="R125" s="458"/>
      <c r="S125" s="458"/>
      <c r="T125" s="458"/>
      <c r="U125" s="458"/>
      <c r="V125" s="458"/>
      <c r="W125" s="458"/>
    </row>
    <row r="126" spans="1:23" ht="15.75" customHeight="1">
      <c r="A126" s="458"/>
      <c r="B126" s="458"/>
      <c r="C126" s="458"/>
      <c r="D126" s="458"/>
      <c r="E126" s="458"/>
      <c r="F126" s="458"/>
      <c r="G126" s="458"/>
      <c r="H126" s="458"/>
      <c r="I126" s="458"/>
      <c r="J126" s="458"/>
      <c r="K126" s="458"/>
      <c r="L126" s="458"/>
      <c r="M126" s="458"/>
      <c r="N126" s="458"/>
      <c r="O126" s="458"/>
      <c r="P126" s="458"/>
      <c r="Q126" s="458"/>
      <c r="R126" s="458"/>
      <c r="S126" s="458"/>
      <c r="T126" s="458"/>
      <c r="U126" s="458"/>
      <c r="V126" s="458"/>
      <c r="W126" s="458"/>
    </row>
    <row r="127" spans="1:23" ht="15.75" customHeight="1">
      <c r="A127" s="458"/>
      <c r="B127" s="458"/>
      <c r="C127" s="458"/>
      <c r="D127" s="458"/>
      <c r="E127" s="458"/>
      <c r="F127" s="458"/>
      <c r="G127" s="458"/>
      <c r="H127" s="458"/>
      <c r="I127" s="458"/>
      <c r="J127" s="458"/>
      <c r="K127" s="458"/>
      <c r="L127" s="458"/>
      <c r="M127" s="458"/>
      <c r="N127" s="458"/>
      <c r="O127" s="458"/>
      <c r="P127" s="458"/>
      <c r="Q127" s="458"/>
      <c r="R127" s="458"/>
      <c r="S127" s="458"/>
      <c r="T127" s="458"/>
      <c r="U127" s="458"/>
      <c r="V127" s="458"/>
      <c r="W127" s="458"/>
    </row>
    <row r="128" spans="1:23" ht="15.75" customHeight="1">
      <c r="A128" s="458"/>
      <c r="B128" s="458"/>
      <c r="C128" s="458"/>
      <c r="D128" s="458"/>
      <c r="E128" s="458"/>
      <c r="F128" s="458"/>
      <c r="G128" s="458"/>
      <c r="H128" s="458"/>
      <c r="I128" s="458"/>
      <c r="J128" s="458"/>
      <c r="K128" s="458"/>
      <c r="L128" s="458"/>
      <c r="M128" s="458"/>
      <c r="N128" s="458"/>
      <c r="O128" s="458"/>
      <c r="P128" s="458"/>
      <c r="Q128" s="458"/>
      <c r="R128" s="458"/>
      <c r="S128" s="458"/>
      <c r="T128" s="458"/>
      <c r="U128" s="458"/>
      <c r="V128" s="458"/>
      <c r="W128" s="458"/>
    </row>
    <row r="129" spans="1:23" ht="15.75" customHeight="1">
      <c r="A129" s="458"/>
      <c r="B129" s="458"/>
      <c r="C129" s="458"/>
      <c r="D129" s="458"/>
      <c r="E129" s="458"/>
      <c r="F129" s="458"/>
      <c r="G129" s="458"/>
      <c r="H129" s="458"/>
      <c r="I129" s="458"/>
      <c r="J129" s="458"/>
      <c r="K129" s="458"/>
      <c r="L129" s="458"/>
      <c r="M129" s="458"/>
      <c r="N129" s="458"/>
      <c r="O129" s="458"/>
      <c r="P129" s="458"/>
      <c r="Q129" s="458"/>
      <c r="R129" s="458"/>
      <c r="S129" s="458"/>
      <c r="T129" s="458"/>
      <c r="U129" s="458"/>
      <c r="V129" s="458"/>
      <c r="W129" s="458"/>
    </row>
    <row r="130" spans="1:23" ht="15.75" customHeight="1">
      <c r="A130" s="458"/>
      <c r="B130" s="458"/>
      <c r="C130" s="458"/>
      <c r="D130" s="458"/>
      <c r="E130" s="458"/>
      <c r="F130" s="458"/>
      <c r="G130" s="458"/>
      <c r="H130" s="458"/>
      <c r="I130" s="458"/>
      <c r="J130" s="458"/>
      <c r="K130" s="458"/>
      <c r="L130" s="458"/>
      <c r="M130" s="458"/>
      <c r="N130" s="458"/>
      <c r="O130" s="458"/>
      <c r="P130" s="458"/>
      <c r="Q130" s="458"/>
      <c r="R130" s="458"/>
      <c r="S130" s="458"/>
      <c r="T130" s="458"/>
      <c r="U130" s="458"/>
      <c r="V130" s="458"/>
      <c r="W130" s="458"/>
    </row>
    <row r="131" spans="1:23" ht="15.75" customHeight="1">
      <c r="A131" s="458"/>
      <c r="B131" s="458"/>
      <c r="C131" s="458"/>
      <c r="D131" s="458"/>
      <c r="E131" s="458"/>
      <c r="F131" s="458"/>
      <c r="G131" s="458"/>
      <c r="H131" s="458"/>
      <c r="I131" s="458"/>
      <c r="J131" s="458"/>
      <c r="K131" s="458"/>
      <c r="L131" s="458"/>
      <c r="M131" s="458"/>
      <c r="N131" s="458"/>
      <c r="O131" s="458"/>
      <c r="P131" s="458"/>
      <c r="Q131" s="458"/>
      <c r="R131" s="458"/>
      <c r="S131" s="458"/>
      <c r="T131" s="458"/>
      <c r="U131" s="458"/>
      <c r="V131" s="458"/>
      <c r="W131" s="458"/>
    </row>
    <row r="132" spans="1:23" ht="15.75" customHeight="1">
      <c r="A132" s="458"/>
      <c r="B132" s="458"/>
      <c r="C132" s="458"/>
      <c r="D132" s="458"/>
      <c r="E132" s="458"/>
      <c r="F132" s="458"/>
      <c r="G132" s="458"/>
      <c r="H132" s="458"/>
      <c r="I132" s="458"/>
      <c r="J132" s="458"/>
      <c r="K132" s="458"/>
      <c r="L132" s="458"/>
      <c r="M132" s="458"/>
      <c r="N132" s="458"/>
      <c r="O132" s="458"/>
      <c r="P132" s="458"/>
      <c r="Q132" s="458"/>
      <c r="R132" s="458"/>
      <c r="S132" s="458"/>
      <c r="T132" s="458"/>
      <c r="U132" s="458"/>
      <c r="V132" s="458"/>
      <c r="W132" s="458"/>
    </row>
    <row r="133" spans="1:23" ht="15.75" customHeight="1">
      <c r="A133" s="458"/>
      <c r="B133" s="458"/>
      <c r="C133" s="458"/>
      <c r="D133" s="458"/>
      <c r="E133" s="458"/>
      <c r="F133" s="458"/>
      <c r="G133" s="458"/>
      <c r="H133" s="458"/>
      <c r="I133" s="458"/>
      <c r="J133" s="458"/>
      <c r="K133" s="458"/>
      <c r="L133" s="458"/>
      <c r="M133" s="458"/>
      <c r="N133" s="458"/>
      <c r="O133" s="458"/>
      <c r="P133" s="458"/>
      <c r="Q133" s="458"/>
      <c r="R133" s="458"/>
      <c r="S133" s="458"/>
      <c r="T133" s="458"/>
      <c r="U133" s="458"/>
      <c r="V133" s="458"/>
      <c r="W133" s="458"/>
    </row>
    <row r="134" spans="1:23" ht="15.75" customHeight="1">
      <c r="A134" s="458"/>
      <c r="B134" s="458"/>
      <c r="C134" s="458"/>
      <c r="D134" s="458"/>
      <c r="E134" s="458"/>
      <c r="F134" s="458"/>
      <c r="G134" s="458"/>
      <c r="H134" s="458"/>
      <c r="I134" s="458"/>
      <c r="J134" s="458"/>
      <c r="K134" s="458"/>
      <c r="L134" s="458"/>
      <c r="M134" s="458"/>
      <c r="N134" s="458"/>
      <c r="O134" s="458"/>
      <c r="P134" s="458"/>
      <c r="Q134" s="458"/>
      <c r="R134" s="458"/>
      <c r="S134" s="458"/>
      <c r="T134" s="458"/>
      <c r="U134" s="458"/>
      <c r="V134" s="458"/>
      <c r="W134" s="458"/>
    </row>
    <row r="135" spans="1:23" ht="15.75" customHeight="1">
      <c r="A135" s="458"/>
      <c r="B135" s="458"/>
      <c r="C135" s="458"/>
      <c r="D135" s="458"/>
      <c r="E135" s="458"/>
      <c r="F135" s="458"/>
      <c r="G135" s="458"/>
      <c r="H135" s="458"/>
      <c r="I135" s="458"/>
      <c r="J135" s="458"/>
      <c r="K135" s="458"/>
      <c r="L135" s="458"/>
      <c r="M135" s="458"/>
      <c r="N135" s="458"/>
      <c r="O135" s="458"/>
      <c r="P135" s="458"/>
      <c r="Q135" s="458"/>
      <c r="R135" s="458"/>
      <c r="S135" s="458"/>
      <c r="T135" s="458"/>
      <c r="U135" s="458"/>
      <c r="V135" s="458"/>
      <c r="W135" s="458"/>
    </row>
    <row r="136" spans="1:23" ht="15.75" customHeight="1">
      <c r="A136" s="458"/>
      <c r="B136" s="458"/>
      <c r="C136" s="458"/>
      <c r="D136" s="458"/>
      <c r="E136" s="458"/>
      <c r="F136" s="458"/>
      <c r="G136" s="458"/>
      <c r="H136" s="458"/>
      <c r="I136" s="458"/>
      <c r="J136" s="458"/>
      <c r="K136" s="458"/>
      <c r="L136" s="458"/>
      <c r="M136" s="458"/>
      <c r="N136" s="458"/>
      <c r="O136" s="458"/>
      <c r="P136" s="458"/>
      <c r="Q136" s="458"/>
      <c r="R136" s="458"/>
      <c r="S136" s="458"/>
      <c r="T136" s="458"/>
      <c r="U136" s="458"/>
      <c r="V136" s="458"/>
      <c r="W136" s="458"/>
    </row>
    <row r="137" spans="1:23" ht="15.75" customHeight="1">
      <c r="A137" s="458"/>
      <c r="B137" s="458"/>
      <c r="C137" s="458"/>
      <c r="D137" s="458"/>
      <c r="E137" s="458"/>
      <c r="F137" s="458"/>
      <c r="G137" s="458"/>
      <c r="H137" s="458"/>
      <c r="I137" s="458"/>
      <c r="J137" s="458"/>
      <c r="K137" s="458"/>
      <c r="L137" s="458"/>
      <c r="M137" s="458"/>
      <c r="N137" s="458"/>
      <c r="O137" s="458"/>
      <c r="P137" s="458"/>
      <c r="Q137" s="458"/>
      <c r="R137" s="458"/>
      <c r="S137" s="458"/>
      <c r="T137" s="458"/>
      <c r="U137" s="458"/>
      <c r="V137" s="458"/>
      <c r="W137" s="458"/>
    </row>
    <row r="138" spans="1:23" ht="15.75" customHeight="1">
      <c r="A138" s="458"/>
      <c r="B138" s="458"/>
      <c r="C138" s="458"/>
      <c r="D138" s="458"/>
      <c r="E138" s="458"/>
      <c r="F138" s="458"/>
      <c r="G138" s="458"/>
      <c r="H138" s="458"/>
      <c r="I138" s="458"/>
      <c r="J138" s="458"/>
      <c r="K138" s="458"/>
      <c r="L138" s="458"/>
      <c r="M138" s="458"/>
      <c r="N138" s="458"/>
      <c r="O138" s="458"/>
      <c r="P138" s="458"/>
      <c r="Q138" s="458"/>
      <c r="R138" s="458"/>
      <c r="S138" s="458"/>
      <c r="T138" s="458"/>
      <c r="U138" s="458"/>
      <c r="V138" s="458"/>
      <c r="W138" s="458"/>
    </row>
    <row r="139" spans="1:23" ht="15.75" customHeight="1">
      <c r="A139" s="458"/>
      <c r="B139" s="458"/>
      <c r="C139" s="458"/>
      <c r="D139" s="458"/>
      <c r="E139" s="458"/>
      <c r="F139" s="458"/>
      <c r="G139" s="458"/>
      <c r="H139" s="458"/>
      <c r="I139" s="458"/>
      <c r="J139" s="458"/>
      <c r="K139" s="458"/>
      <c r="L139" s="458"/>
      <c r="M139" s="458"/>
      <c r="N139" s="458"/>
      <c r="O139" s="458"/>
      <c r="P139" s="458"/>
      <c r="Q139" s="458"/>
      <c r="R139" s="458"/>
      <c r="S139" s="458"/>
      <c r="T139" s="458"/>
      <c r="U139" s="458"/>
      <c r="V139" s="458"/>
      <c r="W139" s="458"/>
    </row>
    <row r="140" spans="1:23" ht="15.75" customHeight="1">
      <c r="A140" s="458"/>
      <c r="B140" s="458"/>
      <c r="C140" s="458"/>
      <c r="D140" s="458"/>
      <c r="E140" s="458"/>
      <c r="F140" s="458"/>
      <c r="G140" s="458"/>
      <c r="H140" s="458"/>
      <c r="I140" s="458"/>
      <c r="J140" s="458"/>
      <c r="K140" s="458"/>
      <c r="L140" s="458"/>
      <c r="M140" s="458"/>
      <c r="N140" s="458"/>
      <c r="O140" s="458"/>
      <c r="P140" s="458"/>
      <c r="Q140" s="458"/>
      <c r="R140" s="458"/>
      <c r="S140" s="458"/>
      <c r="T140" s="458"/>
      <c r="U140" s="458"/>
      <c r="V140" s="458"/>
      <c r="W140" s="458"/>
    </row>
    <row r="141" spans="1:23" ht="15.75" customHeight="1">
      <c r="A141" s="458"/>
      <c r="B141" s="458"/>
      <c r="C141" s="458"/>
      <c r="D141" s="458"/>
      <c r="E141" s="458"/>
      <c r="F141" s="458"/>
      <c r="G141" s="458"/>
      <c r="H141" s="458"/>
      <c r="I141" s="458"/>
      <c r="J141" s="458"/>
      <c r="K141" s="458"/>
      <c r="L141" s="458"/>
      <c r="M141" s="458"/>
      <c r="N141" s="458"/>
      <c r="O141" s="458"/>
      <c r="P141" s="458"/>
      <c r="Q141" s="458"/>
      <c r="R141" s="458"/>
      <c r="S141" s="458"/>
      <c r="T141" s="458"/>
      <c r="U141" s="458"/>
      <c r="V141" s="458"/>
      <c r="W141" s="458"/>
    </row>
    <row r="142" spans="1:23" ht="15.75" customHeight="1">
      <c r="A142" s="458"/>
      <c r="B142" s="458"/>
      <c r="C142" s="458"/>
      <c r="D142" s="458"/>
      <c r="E142" s="458"/>
      <c r="F142" s="458"/>
      <c r="G142" s="458"/>
      <c r="H142" s="458"/>
      <c r="I142" s="458"/>
      <c r="J142" s="458"/>
      <c r="K142" s="458"/>
      <c r="L142" s="458"/>
      <c r="M142" s="458"/>
      <c r="N142" s="458"/>
      <c r="O142" s="458"/>
      <c r="P142" s="458"/>
      <c r="Q142" s="458"/>
      <c r="R142" s="458"/>
      <c r="S142" s="458"/>
      <c r="T142" s="458"/>
      <c r="U142" s="458"/>
      <c r="V142" s="458"/>
      <c r="W142" s="458"/>
    </row>
    <row r="143" spans="1:23" ht="15.75" customHeight="1">
      <c r="A143" s="458"/>
      <c r="B143" s="458"/>
      <c r="C143" s="458"/>
      <c r="D143" s="458"/>
      <c r="E143" s="458"/>
      <c r="F143" s="458"/>
      <c r="G143" s="458"/>
      <c r="H143" s="458"/>
      <c r="I143" s="458"/>
      <c r="J143" s="458"/>
      <c r="K143" s="458"/>
      <c r="L143" s="458"/>
      <c r="M143" s="458"/>
      <c r="N143" s="458"/>
      <c r="O143" s="458"/>
      <c r="P143" s="458"/>
      <c r="Q143" s="458"/>
      <c r="R143" s="458"/>
      <c r="S143" s="458"/>
      <c r="T143" s="458"/>
      <c r="U143" s="458"/>
      <c r="V143" s="458"/>
      <c r="W143" s="458"/>
    </row>
    <row r="144" spans="1:23" ht="15.75" customHeight="1">
      <c r="A144" s="458"/>
      <c r="B144" s="458"/>
      <c r="C144" s="458"/>
      <c r="D144" s="458"/>
      <c r="E144" s="458"/>
      <c r="F144" s="458"/>
      <c r="G144" s="458"/>
      <c r="H144" s="458"/>
      <c r="I144" s="458"/>
      <c r="J144" s="458"/>
      <c r="K144" s="458"/>
      <c r="L144" s="458"/>
      <c r="M144" s="458"/>
      <c r="N144" s="458"/>
      <c r="O144" s="458"/>
      <c r="P144" s="458"/>
      <c r="Q144" s="458"/>
      <c r="R144" s="458"/>
      <c r="S144" s="458"/>
      <c r="T144" s="458"/>
      <c r="U144" s="458"/>
      <c r="V144" s="458"/>
      <c r="W144" s="458"/>
    </row>
    <row r="145" spans="1:23" ht="15.75" customHeight="1">
      <c r="A145" s="458"/>
      <c r="B145" s="458"/>
      <c r="C145" s="458"/>
      <c r="D145" s="458"/>
      <c r="E145" s="458"/>
      <c r="F145" s="458"/>
      <c r="G145" s="458"/>
      <c r="H145" s="458"/>
      <c r="I145" s="458"/>
      <c r="J145" s="458"/>
      <c r="K145" s="458"/>
      <c r="L145" s="458"/>
      <c r="M145" s="458"/>
      <c r="N145" s="458"/>
      <c r="O145" s="458"/>
      <c r="P145" s="458"/>
      <c r="Q145" s="458"/>
      <c r="R145" s="458"/>
      <c r="S145" s="458"/>
      <c r="T145" s="458"/>
      <c r="U145" s="458"/>
      <c r="V145" s="458"/>
      <c r="W145" s="458"/>
    </row>
    <row r="146" spans="1:23" ht="15.75" customHeight="1">
      <c r="A146" s="458"/>
      <c r="B146" s="458"/>
      <c r="C146" s="458"/>
      <c r="D146" s="458"/>
      <c r="E146" s="458"/>
      <c r="F146" s="458"/>
      <c r="G146" s="458"/>
      <c r="H146" s="458"/>
      <c r="I146" s="458"/>
      <c r="J146" s="458"/>
      <c r="K146" s="458"/>
      <c r="L146" s="458"/>
      <c r="M146" s="458"/>
      <c r="N146" s="458"/>
      <c r="O146" s="458"/>
      <c r="P146" s="458"/>
      <c r="Q146" s="458"/>
      <c r="R146" s="458"/>
      <c r="S146" s="458"/>
      <c r="T146" s="458"/>
      <c r="U146" s="458"/>
      <c r="V146" s="458"/>
      <c r="W146" s="458"/>
    </row>
    <row r="147" spans="1:23" ht="15.75" customHeight="1">
      <c r="A147" s="458"/>
      <c r="B147" s="458"/>
      <c r="C147" s="458"/>
      <c r="D147" s="458"/>
      <c r="E147" s="458"/>
      <c r="F147" s="458"/>
      <c r="G147" s="458"/>
      <c r="H147" s="458"/>
      <c r="I147" s="458"/>
      <c r="J147" s="458"/>
      <c r="K147" s="458"/>
      <c r="L147" s="458"/>
      <c r="M147" s="458"/>
      <c r="N147" s="458"/>
      <c r="O147" s="458"/>
      <c r="P147" s="458"/>
      <c r="Q147" s="458"/>
      <c r="R147" s="458"/>
      <c r="S147" s="458"/>
      <c r="T147" s="458"/>
      <c r="U147" s="458"/>
      <c r="V147" s="458"/>
      <c r="W147" s="458"/>
    </row>
    <row r="148" spans="1:23" ht="15.75" customHeight="1">
      <c r="A148" s="458"/>
      <c r="B148" s="458"/>
      <c r="C148" s="458"/>
      <c r="D148" s="458"/>
      <c r="E148" s="458"/>
      <c r="F148" s="458"/>
      <c r="G148" s="458"/>
      <c r="H148" s="458"/>
      <c r="I148" s="458"/>
      <c r="J148" s="458"/>
      <c r="K148" s="458"/>
      <c r="L148" s="458"/>
      <c r="M148" s="458"/>
      <c r="N148" s="458"/>
      <c r="O148" s="458"/>
      <c r="P148" s="458"/>
      <c r="Q148" s="458"/>
      <c r="R148" s="458"/>
      <c r="S148" s="458"/>
      <c r="T148" s="458"/>
      <c r="U148" s="458"/>
      <c r="V148" s="458"/>
      <c r="W148" s="458"/>
    </row>
    <row r="149" spans="1:23" ht="15.75" customHeight="1">
      <c r="A149" s="458"/>
      <c r="B149" s="458"/>
      <c r="C149" s="458"/>
      <c r="D149" s="458"/>
      <c r="E149" s="458"/>
      <c r="F149" s="458"/>
      <c r="G149" s="458"/>
      <c r="H149" s="458"/>
      <c r="I149" s="458"/>
      <c r="J149" s="458"/>
      <c r="K149" s="458"/>
      <c r="L149" s="458"/>
      <c r="M149" s="458"/>
      <c r="N149" s="458"/>
      <c r="O149" s="458"/>
      <c r="P149" s="458"/>
      <c r="Q149" s="458"/>
      <c r="R149" s="458"/>
      <c r="S149" s="458"/>
      <c r="T149" s="458"/>
      <c r="U149" s="458"/>
      <c r="V149" s="458"/>
      <c r="W149" s="458"/>
    </row>
    <row r="150" spans="1:23" ht="15.75" customHeight="1">
      <c r="A150" s="458"/>
      <c r="B150" s="458"/>
      <c r="C150" s="458"/>
      <c r="D150" s="458"/>
      <c r="E150" s="458"/>
      <c r="F150" s="458"/>
      <c r="G150" s="458"/>
      <c r="H150" s="458"/>
      <c r="I150" s="458"/>
      <c r="J150" s="458"/>
      <c r="K150" s="458"/>
      <c r="L150" s="458"/>
      <c r="M150" s="458"/>
      <c r="N150" s="458"/>
      <c r="O150" s="458"/>
      <c r="P150" s="458"/>
      <c r="Q150" s="458"/>
      <c r="R150" s="458"/>
      <c r="S150" s="458"/>
      <c r="T150" s="458"/>
      <c r="U150" s="458"/>
      <c r="V150" s="458"/>
      <c r="W150" s="458"/>
    </row>
    <row r="151" spans="1:23" ht="15.75" customHeight="1">
      <c r="A151" s="458"/>
      <c r="B151" s="458"/>
      <c r="C151" s="458"/>
      <c r="D151" s="458"/>
      <c r="E151" s="458"/>
      <c r="F151" s="458"/>
      <c r="G151" s="458"/>
      <c r="H151" s="458"/>
      <c r="I151" s="458"/>
      <c r="J151" s="458"/>
      <c r="K151" s="458"/>
      <c r="L151" s="458"/>
      <c r="M151" s="458"/>
      <c r="N151" s="458"/>
      <c r="O151" s="458"/>
      <c r="P151" s="458"/>
      <c r="Q151" s="458"/>
      <c r="R151" s="458"/>
      <c r="S151" s="458"/>
      <c r="T151" s="458"/>
      <c r="U151" s="458"/>
      <c r="V151" s="458"/>
      <c r="W151" s="458"/>
    </row>
    <row r="152" spans="1:23" ht="15.75" customHeight="1">
      <c r="A152" s="458"/>
      <c r="B152" s="458"/>
      <c r="C152" s="458"/>
      <c r="D152" s="458"/>
      <c r="E152" s="458"/>
      <c r="F152" s="458"/>
      <c r="G152" s="458"/>
      <c r="H152" s="458"/>
      <c r="I152" s="458"/>
      <c r="J152" s="458"/>
      <c r="K152" s="458"/>
      <c r="L152" s="458"/>
      <c r="M152" s="458"/>
      <c r="N152" s="458"/>
      <c r="O152" s="458"/>
      <c r="P152" s="458"/>
      <c r="Q152" s="458"/>
      <c r="R152" s="458"/>
      <c r="S152" s="458"/>
      <c r="T152" s="458"/>
      <c r="U152" s="458"/>
      <c r="V152" s="458"/>
      <c r="W152" s="458"/>
    </row>
    <row r="153" spans="1:23" ht="15.75" customHeight="1">
      <c r="A153" s="458"/>
      <c r="B153" s="458"/>
      <c r="C153" s="458"/>
      <c r="D153" s="458"/>
      <c r="E153" s="458"/>
      <c r="F153" s="458"/>
      <c r="G153" s="458"/>
      <c r="H153" s="458"/>
      <c r="I153" s="458"/>
      <c r="J153" s="458"/>
      <c r="K153" s="458"/>
      <c r="L153" s="458"/>
      <c r="M153" s="458"/>
      <c r="N153" s="458"/>
      <c r="O153" s="458"/>
      <c r="P153" s="458"/>
      <c r="Q153" s="458"/>
      <c r="R153" s="458"/>
      <c r="S153" s="458"/>
      <c r="T153" s="458"/>
      <c r="U153" s="458"/>
      <c r="V153" s="458"/>
      <c r="W153" s="458"/>
    </row>
    <row r="154" spans="1:23" ht="15.75" customHeight="1">
      <c r="A154" s="458"/>
      <c r="B154" s="458"/>
      <c r="C154" s="458"/>
      <c r="D154" s="458"/>
      <c r="E154" s="458"/>
      <c r="F154" s="458"/>
      <c r="G154" s="458"/>
      <c r="H154" s="458"/>
      <c r="I154" s="458"/>
      <c r="J154" s="458"/>
      <c r="K154" s="458"/>
      <c r="L154" s="458"/>
      <c r="M154" s="458"/>
      <c r="N154" s="458"/>
      <c r="O154" s="458"/>
      <c r="P154" s="458"/>
      <c r="Q154" s="458"/>
      <c r="R154" s="458"/>
      <c r="S154" s="458"/>
      <c r="T154" s="458"/>
      <c r="U154" s="458"/>
      <c r="V154" s="458"/>
      <c r="W154" s="458"/>
    </row>
    <row r="155" spans="1:23" ht="15.75" customHeight="1">
      <c r="A155" s="458"/>
      <c r="B155" s="458"/>
      <c r="C155" s="458"/>
      <c r="D155" s="458"/>
      <c r="E155" s="458"/>
      <c r="F155" s="458"/>
      <c r="G155" s="458"/>
      <c r="H155" s="458"/>
      <c r="I155" s="458"/>
      <c r="J155" s="458"/>
      <c r="K155" s="458"/>
      <c r="L155" s="458"/>
      <c r="M155" s="458"/>
      <c r="N155" s="458"/>
      <c r="O155" s="458"/>
      <c r="P155" s="458"/>
      <c r="Q155" s="458"/>
      <c r="R155" s="458"/>
      <c r="S155" s="458"/>
      <c r="T155" s="458"/>
      <c r="U155" s="458"/>
      <c r="V155" s="458"/>
      <c r="W155" s="458"/>
    </row>
    <row r="156" spans="1:23" ht="15.75" customHeight="1">
      <c r="A156" s="458"/>
      <c r="B156" s="458"/>
      <c r="C156" s="458"/>
      <c r="D156" s="458"/>
      <c r="E156" s="458"/>
      <c r="F156" s="458"/>
      <c r="G156" s="458"/>
      <c r="H156" s="458"/>
      <c r="I156" s="458"/>
      <c r="J156" s="458"/>
      <c r="K156" s="458"/>
      <c r="L156" s="458"/>
      <c r="M156" s="458"/>
      <c r="N156" s="458"/>
      <c r="O156" s="458"/>
      <c r="P156" s="458"/>
      <c r="Q156" s="458"/>
      <c r="R156" s="458"/>
      <c r="S156" s="458"/>
      <c r="T156" s="458"/>
      <c r="U156" s="458"/>
      <c r="V156" s="458"/>
      <c r="W156" s="458"/>
    </row>
    <row r="157" spans="1:23" ht="15.75" customHeight="1">
      <c r="A157" s="458"/>
      <c r="B157" s="458"/>
      <c r="C157" s="458"/>
      <c r="D157" s="458"/>
      <c r="E157" s="458"/>
      <c r="F157" s="458"/>
      <c r="G157" s="458"/>
      <c r="H157" s="458"/>
      <c r="I157" s="458"/>
      <c r="J157" s="458"/>
      <c r="K157" s="458"/>
      <c r="L157" s="458"/>
      <c r="M157" s="458"/>
      <c r="N157" s="458"/>
      <c r="O157" s="458"/>
      <c r="P157" s="458"/>
      <c r="Q157" s="458"/>
      <c r="R157" s="458"/>
      <c r="S157" s="458"/>
      <c r="T157" s="458"/>
      <c r="U157" s="458"/>
      <c r="V157" s="458"/>
      <c r="W157" s="458"/>
    </row>
    <row r="158" spans="1:23" ht="15.75" customHeight="1">
      <c r="A158" s="458"/>
      <c r="B158" s="458"/>
      <c r="C158" s="458"/>
      <c r="D158" s="458"/>
      <c r="E158" s="458"/>
      <c r="F158" s="458"/>
      <c r="G158" s="458"/>
      <c r="H158" s="458"/>
      <c r="I158" s="458"/>
      <c r="J158" s="458"/>
      <c r="K158" s="458"/>
      <c r="L158" s="458"/>
      <c r="M158" s="458"/>
      <c r="N158" s="458"/>
      <c r="O158" s="458"/>
      <c r="P158" s="458"/>
      <c r="Q158" s="458"/>
      <c r="R158" s="458"/>
      <c r="S158" s="458"/>
      <c r="T158" s="458"/>
      <c r="U158" s="458"/>
      <c r="V158" s="458"/>
      <c r="W158" s="458"/>
    </row>
    <row r="159" spans="1:23" ht="15.75" customHeight="1">
      <c r="A159" s="458"/>
      <c r="B159" s="458"/>
      <c r="C159" s="458"/>
      <c r="D159" s="458"/>
      <c r="E159" s="458"/>
      <c r="F159" s="458"/>
      <c r="G159" s="458"/>
      <c r="H159" s="458"/>
      <c r="I159" s="458"/>
      <c r="J159" s="458"/>
      <c r="K159" s="458"/>
      <c r="L159" s="458"/>
      <c r="M159" s="458"/>
      <c r="N159" s="458"/>
      <c r="O159" s="458"/>
      <c r="P159" s="458"/>
      <c r="Q159" s="458"/>
      <c r="R159" s="458"/>
      <c r="S159" s="458"/>
      <c r="T159" s="458"/>
      <c r="U159" s="458"/>
      <c r="V159" s="458"/>
      <c r="W159" s="458"/>
    </row>
    <row r="160" spans="1:23" ht="15.75" customHeight="1">
      <c r="A160" s="458"/>
      <c r="B160" s="458"/>
      <c r="C160" s="458"/>
      <c r="D160" s="458"/>
      <c r="E160" s="458"/>
      <c r="F160" s="458"/>
      <c r="G160" s="458"/>
      <c r="H160" s="458"/>
      <c r="I160" s="458"/>
      <c r="J160" s="458"/>
      <c r="K160" s="458"/>
      <c r="L160" s="458"/>
      <c r="M160" s="458"/>
      <c r="N160" s="458"/>
      <c r="O160" s="458"/>
      <c r="P160" s="458"/>
      <c r="Q160" s="458"/>
      <c r="R160" s="458"/>
      <c r="S160" s="458"/>
      <c r="T160" s="458"/>
      <c r="U160" s="458"/>
      <c r="V160" s="458"/>
      <c r="W160" s="458"/>
    </row>
    <row r="161" spans="1:23" ht="15.75" customHeight="1">
      <c r="A161" s="458"/>
      <c r="B161" s="458"/>
      <c r="C161" s="458"/>
      <c r="D161" s="458"/>
      <c r="E161" s="458"/>
      <c r="F161" s="458"/>
      <c r="G161" s="458"/>
      <c r="H161" s="458"/>
      <c r="I161" s="458"/>
      <c r="J161" s="458"/>
      <c r="K161" s="458"/>
      <c r="L161" s="458"/>
      <c r="M161" s="458"/>
      <c r="N161" s="458"/>
      <c r="O161" s="458"/>
      <c r="P161" s="458"/>
      <c r="Q161" s="458"/>
      <c r="R161" s="458"/>
      <c r="S161" s="458"/>
      <c r="T161" s="458"/>
      <c r="U161" s="458"/>
      <c r="V161" s="458"/>
      <c r="W161" s="458"/>
    </row>
    <row r="162" spans="1:23" ht="15.75" customHeight="1">
      <c r="A162" s="458"/>
      <c r="B162" s="458"/>
      <c r="C162" s="458"/>
      <c r="D162" s="458"/>
      <c r="E162" s="458"/>
      <c r="F162" s="458"/>
      <c r="G162" s="458"/>
      <c r="H162" s="458"/>
      <c r="I162" s="458"/>
      <c r="J162" s="458"/>
      <c r="K162" s="458"/>
      <c r="L162" s="458"/>
      <c r="M162" s="458"/>
      <c r="N162" s="458"/>
      <c r="O162" s="458"/>
      <c r="P162" s="458"/>
      <c r="Q162" s="458"/>
      <c r="R162" s="458"/>
      <c r="S162" s="458"/>
      <c r="T162" s="458"/>
      <c r="U162" s="458"/>
      <c r="V162" s="458"/>
      <c r="W162" s="458"/>
    </row>
    <row r="163" spans="1:23" ht="15.75" customHeight="1">
      <c r="A163" s="458"/>
      <c r="B163" s="458"/>
      <c r="C163" s="458"/>
      <c r="D163" s="458"/>
      <c r="E163" s="458"/>
      <c r="F163" s="458"/>
      <c r="G163" s="458"/>
      <c r="H163" s="458"/>
      <c r="I163" s="458"/>
      <c r="J163" s="458"/>
      <c r="K163" s="458"/>
      <c r="L163" s="458"/>
      <c r="M163" s="458"/>
      <c r="N163" s="458"/>
      <c r="O163" s="458"/>
      <c r="P163" s="458"/>
      <c r="Q163" s="458"/>
      <c r="R163" s="458"/>
      <c r="S163" s="458"/>
      <c r="T163" s="458"/>
      <c r="U163" s="458"/>
      <c r="V163" s="458"/>
      <c r="W163" s="458"/>
    </row>
    <row r="164" spans="1:23" ht="15.75" customHeight="1">
      <c r="A164" s="458"/>
      <c r="B164" s="458"/>
      <c r="C164" s="458"/>
      <c r="D164" s="458"/>
      <c r="E164" s="458"/>
      <c r="F164" s="458"/>
      <c r="G164" s="458"/>
      <c r="H164" s="458"/>
      <c r="I164" s="458"/>
      <c r="J164" s="458"/>
      <c r="K164" s="458"/>
      <c r="L164" s="458"/>
      <c r="M164" s="458"/>
      <c r="N164" s="458"/>
      <c r="O164" s="458"/>
      <c r="P164" s="458"/>
      <c r="Q164" s="458"/>
      <c r="R164" s="458"/>
      <c r="S164" s="458"/>
      <c r="T164" s="458"/>
      <c r="U164" s="458"/>
      <c r="V164" s="458"/>
      <c r="W164" s="458"/>
    </row>
    <row r="165" spans="1:23" ht="15.75" customHeight="1">
      <c r="A165" s="458"/>
      <c r="B165" s="458"/>
      <c r="C165" s="458"/>
      <c r="D165" s="458"/>
      <c r="E165" s="458"/>
      <c r="F165" s="458"/>
      <c r="G165" s="458"/>
      <c r="H165" s="458"/>
      <c r="I165" s="458"/>
      <c r="J165" s="458"/>
      <c r="K165" s="458"/>
      <c r="L165" s="458"/>
      <c r="M165" s="458"/>
      <c r="N165" s="458"/>
      <c r="O165" s="458"/>
      <c r="P165" s="458"/>
      <c r="Q165" s="458"/>
      <c r="R165" s="458"/>
      <c r="S165" s="458"/>
      <c r="T165" s="458"/>
      <c r="U165" s="458"/>
      <c r="V165" s="458"/>
      <c r="W165" s="458"/>
    </row>
    <row r="166" spans="1:23" ht="15.75" customHeight="1">
      <c r="A166" s="458"/>
      <c r="B166" s="458"/>
      <c r="C166" s="458"/>
      <c r="D166" s="458"/>
      <c r="E166" s="458"/>
      <c r="F166" s="458"/>
      <c r="G166" s="458"/>
      <c r="H166" s="458"/>
      <c r="I166" s="458"/>
      <c r="J166" s="458"/>
      <c r="K166" s="458"/>
      <c r="L166" s="458"/>
      <c r="M166" s="458"/>
      <c r="N166" s="458"/>
      <c r="O166" s="458"/>
      <c r="P166" s="458"/>
      <c r="Q166" s="458"/>
      <c r="R166" s="458"/>
      <c r="S166" s="458"/>
      <c r="T166" s="458"/>
      <c r="U166" s="458"/>
      <c r="V166" s="458"/>
      <c r="W166" s="458"/>
    </row>
    <row r="167" spans="1:23" ht="15.75" customHeight="1">
      <c r="A167" s="458"/>
      <c r="B167" s="458"/>
      <c r="C167" s="458"/>
      <c r="D167" s="458"/>
      <c r="E167" s="458"/>
      <c r="F167" s="458"/>
      <c r="G167" s="458"/>
      <c r="H167" s="458"/>
      <c r="I167" s="458"/>
      <c r="J167" s="458"/>
      <c r="K167" s="458"/>
      <c r="L167" s="458"/>
      <c r="M167" s="458"/>
      <c r="N167" s="458"/>
      <c r="O167" s="458"/>
      <c r="P167" s="458"/>
      <c r="Q167" s="458"/>
      <c r="R167" s="458"/>
      <c r="S167" s="458"/>
      <c r="T167" s="458"/>
      <c r="U167" s="458"/>
      <c r="V167" s="458"/>
      <c r="W167" s="458"/>
    </row>
    <row r="168" spans="1:23" ht="15.75" customHeight="1">
      <c r="A168" s="458"/>
      <c r="B168" s="458"/>
      <c r="C168" s="458"/>
      <c r="D168" s="458"/>
      <c r="E168" s="458"/>
      <c r="F168" s="458"/>
      <c r="G168" s="458"/>
      <c r="H168" s="458"/>
      <c r="I168" s="458"/>
      <c r="J168" s="458"/>
      <c r="K168" s="458"/>
      <c r="L168" s="458"/>
      <c r="M168" s="458"/>
      <c r="N168" s="458"/>
      <c r="O168" s="458"/>
      <c r="P168" s="458"/>
      <c r="Q168" s="458"/>
      <c r="R168" s="458"/>
      <c r="S168" s="458"/>
      <c r="T168" s="458"/>
      <c r="U168" s="458"/>
      <c r="V168" s="458"/>
      <c r="W168" s="458"/>
    </row>
    <row r="169" spans="1:23" ht="15.75" customHeight="1">
      <c r="A169" s="458"/>
      <c r="B169" s="458"/>
      <c r="C169" s="458"/>
      <c r="D169" s="458"/>
      <c r="E169" s="458"/>
      <c r="F169" s="458"/>
      <c r="G169" s="458"/>
      <c r="H169" s="458"/>
      <c r="I169" s="458"/>
      <c r="J169" s="458"/>
      <c r="K169" s="458"/>
      <c r="L169" s="458"/>
      <c r="M169" s="458"/>
      <c r="N169" s="458"/>
      <c r="O169" s="458"/>
      <c r="P169" s="458"/>
      <c r="Q169" s="458"/>
      <c r="R169" s="458"/>
      <c r="S169" s="458"/>
      <c r="T169" s="458"/>
      <c r="U169" s="458"/>
      <c r="V169" s="458"/>
      <c r="W169" s="458"/>
    </row>
    <row r="170" spans="1:23" ht="15.75" customHeight="1">
      <c r="A170" s="458"/>
      <c r="B170" s="458"/>
      <c r="C170" s="458"/>
      <c r="D170" s="458"/>
      <c r="E170" s="458"/>
      <c r="F170" s="458"/>
      <c r="G170" s="458"/>
      <c r="H170" s="458"/>
      <c r="I170" s="458"/>
      <c r="J170" s="458"/>
      <c r="K170" s="458"/>
      <c r="L170" s="458"/>
      <c r="M170" s="458"/>
      <c r="N170" s="458"/>
      <c r="O170" s="458"/>
      <c r="P170" s="458"/>
      <c r="Q170" s="458"/>
      <c r="R170" s="458"/>
      <c r="S170" s="458"/>
      <c r="T170" s="458"/>
      <c r="U170" s="458"/>
      <c r="V170" s="458"/>
      <c r="W170" s="458"/>
    </row>
    <row r="171" spans="1:23" ht="15.75" customHeight="1">
      <c r="A171" s="458"/>
      <c r="B171" s="458"/>
      <c r="C171" s="458"/>
      <c r="D171" s="458"/>
      <c r="E171" s="458"/>
      <c r="F171" s="458"/>
      <c r="G171" s="458"/>
      <c r="H171" s="458"/>
      <c r="I171" s="458"/>
      <c r="J171" s="458"/>
      <c r="K171" s="458"/>
      <c r="L171" s="458"/>
      <c r="M171" s="458"/>
      <c r="N171" s="458"/>
      <c r="O171" s="458"/>
      <c r="P171" s="458"/>
      <c r="Q171" s="458"/>
      <c r="R171" s="458"/>
      <c r="S171" s="458"/>
      <c r="T171" s="458"/>
      <c r="U171" s="458"/>
      <c r="V171" s="458"/>
      <c r="W171" s="458"/>
    </row>
    <row r="172" spans="1:23" ht="15.75" customHeight="1">
      <c r="A172" s="458"/>
      <c r="B172" s="458"/>
      <c r="C172" s="458"/>
      <c r="D172" s="458"/>
      <c r="E172" s="458"/>
      <c r="F172" s="458"/>
      <c r="G172" s="458"/>
      <c r="H172" s="458"/>
      <c r="I172" s="458"/>
      <c r="J172" s="458"/>
      <c r="K172" s="458"/>
      <c r="L172" s="458"/>
      <c r="M172" s="458"/>
      <c r="N172" s="458"/>
      <c r="O172" s="458"/>
      <c r="P172" s="458"/>
      <c r="Q172" s="458"/>
      <c r="R172" s="458"/>
      <c r="S172" s="458"/>
      <c r="T172" s="458"/>
      <c r="U172" s="458"/>
      <c r="V172" s="458"/>
      <c r="W172" s="458"/>
    </row>
    <row r="173" spans="1:23" ht="15.75" customHeight="1">
      <c r="A173" s="458"/>
      <c r="B173" s="458"/>
      <c r="C173" s="458"/>
      <c r="D173" s="458"/>
      <c r="E173" s="458"/>
      <c r="F173" s="458"/>
      <c r="G173" s="458"/>
      <c r="H173" s="458"/>
      <c r="I173" s="458"/>
      <c r="J173" s="458"/>
      <c r="K173" s="458"/>
      <c r="L173" s="458"/>
      <c r="M173" s="458"/>
      <c r="N173" s="458"/>
      <c r="O173" s="458"/>
      <c r="P173" s="458"/>
      <c r="Q173" s="458"/>
      <c r="R173" s="458"/>
      <c r="S173" s="458"/>
      <c r="T173" s="458"/>
      <c r="U173" s="458"/>
      <c r="V173" s="458"/>
      <c r="W173" s="458"/>
    </row>
    <row r="174" spans="1:23" ht="15.75" customHeight="1">
      <c r="A174" s="458"/>
      <c r="B174" s="458"/>
      <c r="C174" s="458"/>
      <c r="D174" s="458"/>
      <c r="E174" s="458"/>
      <c r="F174" s="458"/>
      <c r="G174" s="458"/>
      <c r="H174" s="458"/>
      <c r="I174" s="458"/>
      <c r="J174" s="458"/>
      <c r="K174" s="458"/>
      <c r="L174" s="458"/>
      <c r="M174" s="458"/>
      <c r="N174" s="458"/>
      <c r="O174" s="458"/>
      <c r="P174" s="458"/>
      <c r="Q174" s="458"/>
      <c r="R174" s="458"/>
      <c r="S174" s="458"/>
      <c r="T174" s="458"/>
      <c r="U174" s="458"/>
      <c r="V174" s="458"/>
      <c r="W174" s="458"/>
    </row>
    <row r="175" spans="1:23" ht="15.75" customHeight="1">
      <c r="A175" s="458"/>
      <c r="B175" s="458"/>
      <c r="C175" s="458"/>
      <c r="D175" s="458"/>
      <c r="E175" s="458"/>
      <c r="F175" s="458"/>
      <c r="G175" s="458"/>
      <c r="H175" s="458"/>
      <c r="I175" s="458"/>
      <c r="J175" s="458"/>
      <c r="K175" s="458"/>
      <c r="L175" s="458"/>
      <c r="M175" s="458"/>
      <c r="N175" s="458"/>
      <c r="O175" s="458"/>
      <c r="P175" s="458"/>
      <c r="Q175" s="458"/>
      <c r="R175" s="458"/>
      <c r="S175" s="458"/>
      <c r="T175" s="458"/>
      <c r="U175" s="458"/>
      <c r="V175" s="458"/>
      <c r="W175" s="458"/>
    </row>
    <row r="176" spans="1:23" ht="15.75" customHeight="1">
      <c r="A176" s="458"/>
      <c r="B176" s="458"/>
      <c r="C176" s="458"/>
      <c r="D176" s="458"/>
      <c r="E176" s="458"/>
      <c r="F176" s="458"/>
      <c r="G176" s="458"/>
      <c r="H176" s="458"/>
      <c r="I176" s="458"/>
      <c r="J176" s="458"/>
      <c r="K176" s="458"/>
      <c r="L176" s="458"/>
      <c r="M176" s="458"/>
      <c r="N176" s="458"/>
      <c r="O176" s="458"/>
      <c r="P176" s="458"/>
      <c r="Q176" s="458"/>
      <c r="R176" s="458"/>
      <c r="S176" s="458"/>
      <c r="T176" s="458"/>
      <c r="U176" s="458"/>
      <c r="V176" s="458"/>
      <c r="W176" s="458"/>
    </row>
    <row r="177" spans="1:23" ht="15.75" customHeight="1">
      <c r="A177" s="458"/>
      <c r="B177" s="458"/>
      <c r="C177" s="458"/>
      <c r="D177" s="458"/>
      <c r="E177" s="458"/>
      <c r="F177" s="458"/>
      <c r="G177" s="458"/>
      <c r="H177" s="458"/>
      <c r="I177" s="458"/>
      <c r="J177" s="458"/>
      <c r="K177" s="458"/>
      <c r="L177" s="458"/>
      <c r="M177" s="458"/>
      <c r="N177" s="458"/>
      <c r="O177" s="458"/>
      <c r="P177" s="458"/>
      <c r="Q177" s="458"/>
      <c r="R177" s="458"/>
      <c r="S177" s="458"/>
      <c r="T177" s="458"/>
      <c r="U177" s="458"/>
      <c r="V177" s="458"/>
      <c r="W177" s="458"/>
    </row>
    <row r="178" spans="1:23" ht="15.75" customHeight="1">
      <c r="A178" s="458"/>
      <c r="B178" s="458"/>
      <c r="C178" s="458"/>
      <c r="D178" s="458"/>
      <c r="E178" s="458"/>
      <c r="F178" s="458"/>
      <c r="G178" s="458"/>
      <c r="H178" s="458"/>
      <c r="I178" s="458"/>
      <c r="J178" s="458"/>
      <c r="K178" s="458"/>
      <c r="L178" s="458"/>
      <c r="M178" s="458"/>
      <c r="N178" s="458"/>
      <c r="O178" s="458"/>
      <c r="P178" s="458"/>
      <c r="Q178" s="458"/>
      <c r="R178" s="458"/>
      <c r="S178" s="458"/>
      <c r="T178" s="458"/>
      <c r="U178" s="458"/>
      <c r="V178" s="458"/>
      <c r="W178" s="458"/>
    </row>
    <row r="179" spans="1:23" ht="15.75" customHeight="1">
      <c r="A179" s="458"/>
      <c r="B179" s="458"/>
      <c r="C179" s="458"/>
      <c r="D179" s="458"/>
      <c r="E179" s="458"/>
      <c r="F179" s="458"/>
      <c r="G179" s="458"/>
      <c r="H179" s="458"/>
      <c r="I179" s="458"/>
      <c r="J179" s="458"/>
      <c r="K179" s="458"/>
      <c r="L179" s="458"/>
      <c r="M179" s="458"/>
      <c r="N179" s="458"/>
      <c r="O179" s="458"/>
      <c r="P179" s="458"/>
      <c r="Q179" s="458"/>
      <c r="R179" s="458"/>
      <c r="S179" s="458"/>
      <c r="T179" s="458"/>
      <c r="U179" s="458"/>
      <c r="V179" s="458"/>
      <c r="W179" s="458"/>
    </row>
    <row r="180" spans="1:23" ht="15.75" customHeight="1">
      <c r="A180" s="458"/>
      <c r="B180" s="458"/>
      <c r="C180" s="458"/>
      <c r="D180" s="458"/>
      <c r="E180" s="458"/>
      <c r="F180" s="458"/>
      <c r="G180" s="458"/>
      <c r="H180" s="458"/>
      <c r="I180" s="458"/>
      <c r="J180" s="458"/>
      <c r="K180" s="458"/>
      <c r="L180" s="458"/>
      <c r="M180" s="458"/>
      <c r="N180" s="458"/>
      <c r="O180" s="458"/>
      <c r="P180" s="458"/>
      <c r="Q180" s="458"/>
      <c r="R180" s="458"/>
      <c r="S180" s="458"/>
      <c r="T180" s="458"/>
      <c r="U180" s="458"/>
      <c r="V180" s="458"/>
      <c r="W180" s="458"/>
    </row>
    <row r="181" spans="1:23" ht="15.75" customHeight="1">
      <c r="A181" s="458"/>
      <c r="B181" s="458"/>
      <c r="C181" s="458"/>
      <c r="D181" s="458"/>
      <c r="E181" s="458"/>
      <c r="F181" s="458"/>
      <c r="G181" s="458"/>
      <c r="H181" s="458"/>
      <c r="I181" s="458"/>
      <c r="J181" s="458"/>
      <c r="K181" s="458"/>
      <c r="L181" s="458"/>
      <c r="M181" s="458"/>
      <c r="N181" s="458"/>
      <c r="O181" s="458"/>
      <c r="P181" s="458"/>
      <c r="Q181" s="458"/>
      <c r="R181" s="458"/>
      <c r="S181" s="458"/>
      <c r="T181" s="458"/>
      <c r="U181" s="458"/>
      <c r="V181" s="458"/>
      <c r="W181" s="458"/>
    </row>
    <row r="182" spans="1:23" ht="15.75" customHeight="1">
      <c r="A182" s="458"/>
      <c r="B182" s="458"/>
      <c r="C182" s="458"/>
      <c r="D182" s="458"/>
      <c r="E182" s="458"/>
      <c r="F182" s="458"/>
      <c r="G182" s="458"/>
      <c r="H182" s="458"/>
      <c r="I182" s="458"/>
      <c r="J182" s="458"/>
      <c r="K182" s="458"/>
      <c r="L182" s="458"/>
      <c r="M182" s="458"/>
      <c r="N182" s="458"/>
      <c r="O182" s="458"/>
      <c r="P182" s="458"/>
      <c r="Q182" s="458"/>
      <c r="R182" s="458"/>
      <c r="S182" s="458"/>
      <c r="T182" s="458"/>
      <c r="U182" s="458"/>
      <c r="V182" s="458"/>
      <c r="W182" s="458"/>
    </row>
    <row r="183" spans="1:23" ht="15.75" customHeight="1">
      <c r="A183" s="458"/>
      <c r="B183" s="458"/>
      <c r="C183" s="458"/>
      <c r="D183" s="458"/>
      <c r="E183" s="458"/>
      <c r="F183" s="458"/>
      <c r="G183" s="458"/>
      <c r="H183" s="458"/>
      <c r="I183" s="458"/>
      <c r="J183" s="458"/>
      <c r="K183" s="458"/>
      <c r="L183" s="458"/>
      <c r="M183" s="458"/>
      <c r="N183" s="458"/>
      <c r="O183" s="458"/>
      <c r="P183" s="458"/>
      <c r="Q183" s="458"/>
      <c r="R183" s="458"/>
      <c r="S183" s="458"/>
      <c r="T183" s="458"/>
      <c r="U183" s="458"/>
      <c r="V183" s="458"/>
      <c r="W183" s="458"/>
    </row>
    <row r="184" spans="1:23" ht="15.75" customHeight="1">
      <c r="A184" s="458"/>
      <c r="B184" s="458"/>
      <c r="C184" s="458"/>
      <c r="D184" s="458"/>
      <c r="E184" s="458"/>
      <c r="F184" s="458"/>
      <c r="G184" s="458"/>
      <c r="H184" s="458"/>
      <c r="I184" s="458"/>
      <c r="J184" s="458"/>
      <c r="K184" s="458"/>
      <c r="L184" s="458"/>
      <c r="M184" s="458"/>
      <c r="N184" s="458"/>
      <c r="O184" s="458"/>
      <c r="P184" s="458"/>
      <c r="Q184" s="458"/>
      <c r="R184" s="458"/>
      <c r="S184" s="458"/>
      <c r="T184" s="458"/>
      <c r="U184" s="458"/>
      <c r="V184" s="458"/>
      <c r="W184" s="458"/>
    </row>
    <row r="185" spans="1:23" ht="15.75" customHeight="1">
      <c r="A185" s="458"/>
      <c r="B185" s="458"/>
      <c r="C185" s="458"/>
      <c r="D185" s="458"/>
      <c r="E185" s="458"/>
      <c r="F185" s="458"/>
      <c r="G185" s="458"/>
      <c r="H185" s="458"/>
      <c r="I185" s="458"/>
      <c r="J185" s="458"/>
      <c r="K185" s="458"/>
      <c r="L185" s="458"/>
      <c r="M185" s="458"/>
      <c r="N185" s="458"/>
      <c r="O185" s="458"/>
      <c r="P185" s="458"/>
      <c r="Q185" s="458"/>
      <c r="R185" s="458"/>
      <c r="S185" s="458"/>
      <c r="T185" s="458"/>
      <c r="U185" s="458"/>
      <c r="V185" s="458"/>
      <c r="W185" s="458"/>
    </row>
    <row r="186" spans="1:23" ht="15.75" customHeight="1">
      <c r="A186" s="458"/>
      <c r="B186" s="458"/>
      <c r="C186" s="458"/>
      <c r="D186" s="458"/>
      <c r="E186" s="458"/>
      <c r="F186" s="458"/>
      <c r="G186" s="458"/>
      <c r="H186" s="458"/>
      <c r="I186" s="458"/>
      <c r="J186" s="458"/>
      <c r="K186" s="458"/>
      <c r="L186" s="458"/>
      <c r="M186" s="458"/>
      <c r="N186" s="458"/>
      <c r="O186" s="458"/>
      <c r="P186" s="458"/>
      <c r="Q186" s="458"/>
      <c r="R186" s="458"/>
      <c r="S186" s="458"/>
      <c r="T186" s="458"/>
      <c r="U186" s="458"/>
      <c r="V186" s="458"/>
      <c r="W186" s="458"/>
    </row>
    <row r="187" spans="1:23" ht="15.75" customHeight="1">
      <c r="A187" s="458"/>
      <c r="B187" s="458"/>
      <c r="C187" s="458"/>
      <c r="D187" s="458"/>
      <c r="E187" s="458"/>
      <c r="F187" s="458"/>
      <c r="G187" s="458"/>
      <c r="H187" s="458"/>
      <c r="I187" s="458"/>
      <c r="J187" s="458"/>
      <c r="K187" s="458"/>
      <c r="L187" s="458"/>
      <c r="M187" s="458"/>
      <c r="N187" s="458"/>
      <c r="O187" s="458"/>
      <c r="P187" s="458"/>
      <c r="Q187" s="458"/>
      <c r="R187" s="458"/>
      <c r="S187" s="458"/>
      <c r="T187" s="458"/>
      <c r="U187" s="458"/>
      <c r="V187" s="458"/>
      <c r="W187" s="458"/>
    </row>
    <row r="188" spans="1:23" ht="15.75" customHeight="1">
      <c r="A188" s="458"/>
      <c r="B188" s="458"/>
      <c r="C188" s="458"/>
      <c r="D188" s="458"/>
      <c r="E188" s="458"/>
      <c r="F188" s="458"/>
      <c r="G188" s="458"/>
      <c r="H188" s="458"/>
      <c r="I188" s="458"/>
      <c r="J188" s="458"/>
      <c r="K188" s="458"/>
      <c r="L188" s="458"/>
      <c r="M188" s="458"/>
      <c r="N188" s="458"/>
      <c r="O188" s="458"/>
      <c r="P188" s="458"/>
      <c r="Q188" s="458"/>
      <c r="R188" s="458"/>
      <c r="S188" s="458"/>
      <c r="T188" s="458"/>
      <c r="U188" s="458"/>
      <c r="V188" s="458"/>
      <c r="W188" s="458"/>
    </row>
    <row r="189" spans="1:23" ht="15.75" customHeight="1">
      <c r="A189" s="458"/>
      <c r="B189" s="458"/>
      <c r="C189" s="458"/>
      <c r="D189" s="458"/>
      <c r="E189" s="458"/>
      <c r="F189" s="458"/>
      <c r="G189" s="458"/>
      <c r="H189" s="458"/>
      <c r="I189" s="458"/>
      <c r="J189" s="458"/>
      <c r="K189" s="458"/>
      <c r="L189" s="458"/>
      <c r="M189" s="458"/>
      <c r="N189" s="458"/>
      <c r="O189" s="458"/>
      <c r="P189" s="458"/>
      <c r="Q189" s="458"/>
      <c r="R189" s="458"/>
      <c r="S189" s="458"/>
      <c r="T189" s="458"/>
      <c r="U189" s="458"/>
      <c r="V189" s="458"/>
      <c r="W189" s="458"/>
    </row>
    <row r="190" spans="1:23" ht="15.75" customHeight="1">
      <c r="A190" s="458"/>
      <c r="B190" s="458"/>
      <c r="C190" s="458"/>
      <c r="D190" s="458"/>
      <c r="E190" s="458"/>
      <c r="F190" s="458"/>
      <c r="G190" s="458"/>
      <c r="H190" s="458"/>
      <c r="I190" s="458"/>
      <c r="J190" s="458"/>
      <c r="K190" s="458"/>
      <c r="L190" s="458"/>
      <c r="M190" s="458"/>
      <c r="N190" s="458"/>
      <c r="O190" s="458"/>
      <c r="P190" s="458"/>
      <c r="Q190" s="458"/>
      <c r="R190" s="458"/>
      <c r="S190" s="458"/>
      <c r="T190" s="458"/>
      <c r="U190" s="458"/>
      <c r="V190" s="458"/>
      <c r="W190" s="458"/>
    </row>
    <row r="191" spans="1:23" ht="15.75" customHeight="1">
      <c r="A191" s="458"/>
      <c r="B191" s="458"/>
      <c r="C191" s="458"/>
      <c r="D191" s="458"/>
      <c r="E191" s="458"/>
      <c r="F191" s="458"/>
      <c r="G191" s="458"/>
      <c r="H191" s="458"/>
      <c r="I191" s="458"/>
      <c r="J191" s="458"/>
      <c r="K191" s="458"/>
      <c r="L191" s="458"/>
      <c r="M191" s="458"/>
      <c r="N191" s="458"/>
      <c r="O191" s="458"/>
      <c r="P191" s="458"/>
      <c r="Q191" s="458"/>
      <c r="R191" s="458"/>
      <c r="S191" s="458"/>
      <c r="T191" s="458"/>
      <c r="U191" s="458"/>
      <c r="V191" s="458"/>
      <c r="W191" s="458"/>
    </row>
    <row r="192" spans="1:23" ht="15.75" customHeight="1">
      <c r="A192" s="458"/>
      <c r="B192" s="458"/>
      <c r="C192" s="458"/>
      <c r="D192" s="458"/>
      <c r="E192" s="458"/>
      <c r="F192" s="458"/>
      <c r="G192" s="458"/>
      <c r="H192" s="458"/>
      <c r="I192" s="458"/>
      <c r="J192" s="458"/>
      <c r="K192" s="458"/>
      <c r="L192" s="458"/>
      <c r="M192" s="458"/>
      <c r="N192" s="458"/>
      <c r="O192" s="458"/>
      <c r="P192" s="458"/>
      <c r="Q192" s="458"/>
      <c r="R192" s="458"/>
      <c r="S192" s="458"/>
      <c r="T192" s="458"/>
      <c r="U192" s="458"/>
      <c r="V192" s="458"/>
      <c r="W192" s="458"/>
    </row>
    <row r="193" spans="1:23" ht="15.75" customHeight="1">
      <c r="A193" s="458"/>
      <c r="B193" s="458"/>
      <c r="C193" s="458"/>
      <c r="D193" s="458"/>
      <c r="E193" s="458"/>
      <c r="F193" s="458"/>
      <c r="G193" s="458"/>
      <c r="H193" s="458"/>
      <c r="I193" s="458"/>
      <c r="J193" s="458"/>
      <c r="K193" s="458"/>
      <c r="L193" s="458"/>
      <c r="M193" s="458"/>
      <c r="N193" s="458"/>
      <c r="O193" s="458"/>
      <c r="P193" s="458"/>
      <c r="Q193" s="458"/>
      <c r="R193" s="458"/>
      <c r="S193" s="458"/>
      <c r="T193" s="458"/>
      <c r="U193" s="458"/>
      <c r="V193" s="458"/>
      <c r="W193" s="458"/>
    </row>
    <row r="194" spans="1:23" ht="15.75" customHeight="1">
      <c r="A194" s="458"/>
      <c r="B194" s="458"/>
      <c r="C194" s="458"/>
      <c r="D194" s="458"/>
      <c r="E194" s="458"/>
      <c r="F194" s="458"/>
      <c r="G194" s="458"/>
      <c r="H194" s="458"/>
      <c r="I194" s="458"/>
      <c r="J194" s="458"/>
      <c r="K194" s="458"/>
      <c r="L194" s="458"/>
      <c r="M194" s="458"/>
      <c r="N194" s="458"/>
      <c r="O194" s="458"/>
      <c r="P194" s="458"/>
      <c r="Q194" s="458"/>
      <c r="R194" s="458"/>
      <c r="S194" s="458"/>
      <c r="T194" s="458"/>
      <c r="U194" s="458"/>
      <c r="V194" s="458"/>
      <c r="W194" s="458"/>
    </row>
    <row r="195" spans="1:23" ht="15.75" customHeight="1">
      <c r="A195" s="458"/>
      <c r="B195" s="458"/>
      <c r="C195" s="458"/>
      <c r="D195" s="458"/>
      <c r="E195" s="458"/>
      <c r="F195" s="458"/>
      <c r="G195" s="458"/>
      <c r="H195" s="458"/>
      <c r="I195" s="458"/>
      <c r="J195" s="458"/>
      <c r="K195" s="458"/>
      <c r="L195" s="458"/>
      <c r="M195" s="458"/>
      <c r="N195" s="458"/>
      <c r="O195" s="458"/>
      <c r="P195" s="458"/>
      <c r="Q195" s="458"/>
      <c r="R195" s="458"/>
      <c r="S195" s="458"/>
      <c r="T195" s="458"/>
      <c r="U195" s="458"/>
      <c r="V195" s="458"/>
      <c r="W195" s="458"/>
    </row>
    <row r="196" spans="1:23" ht="15.75" customHeight="1">
      <c r="A196" s="458"/>
      <c r="B196" s="458"/>
      <c r="C196" s="458"/>
      <c r="D196" s="458"/>
      <c r="E196" s="458"/>
      <c r="F196" s="458"/>
      <c r="G196" s="458"/>
      <c r="H196" s="458"/>
      <c r="I196" s="458"/>
      <c r="J196" s="458"/>
      <c r="K196" s="458"/>
      <c r="L196" s="458"/>
      <c r="M196" s="458"/>
      <c r="N196" s="458"/>
      <c r="O196" s="458"/>
      <c r="P196" s="458"/>
      <c r="Q196" s="458"/>
      <c r="R196" s="458"/>
      <c r="S196" s="458"/>
      <c r="T196" s="458"/>
      <c r="U196" s="458"/>
      <c r="V196" s="458"/>
      <c r="W196" s="458"/>
    </row>
    <row r="197" spans="1:23" ht="15.75" customHeight="1">
      <c r="A197" s="458"/>
      <c r="B197" s="458"/>
      <c r="C197" s="458"/>
      <c r="D197" s="458"/>
      <c r="E197" s="458"/>
      <c r="F197" s="458"/>
      <c r="G197" s="458"/>
      <c r="H197" s="458"/>
      <c r="I197" s="458"/>
      <c r="J197" s="458"/>
      <c r="K197" s="458"/>
      <c r="L197" s="458"/>
      <c r="M197" s="458"/>
      <c r="N197" s="458"/>
      <c r="O197" s="458"/>
      <c r="P197" s="458"/>
      <c r="Q197" s="458"/>
      <c r="R197" s="458"/>
      <c r="S197" s="458"/>
      <c r="T197" s="458"/>
      <c r="U197" s="458"/>
      <c r="V197" s="458"/>
      <c r="W197" s="458"/>
    </row>
    <row r="198" spans="1:23" ht="15.75" customHeight="1">
      <c r="A198" s="458"/>
      <c r="B198" s="458"/>
      <c r="C198" s="458"/>
      <c r="D198" s="458"/>
      <c r="E198" s="458"/>
      <c r="F198" s="458"/>
      <c r="G198" s="458"/>
      <c r="H198" s="458"/>
      <c r="I198" s="458"/>
      <c r="J198" s="458"/>
      <c r="K198" s="458"/>
      <c r="L198" s="458"/>
      <c r="M198" s="458"/>
      <c r="N198" s="458"/>
      <c r="O198" s="458"/>
      <c r="P198" s="458"/>
      <c r="Q198" s="458"/>
      <c r="R198" s="458"/>
      <c r="S198" s="458"/>
      <c r="T198" s="458"/>
      <c r="U198" s="458"/>
      <c r="V198" s="458"/>
      <c r="W198" s="458"/>
    </row>
    <row r="199" spans="1:23" ht="15.75" customHeight="1">
      <c r="A199" s="458"/>
      <c r="B199" s="458"/>
      <c r="C199" s="458"/>
      <c r="D199" s="458"/>
      <c r="E199" s="458"/>
      <c r="F199" s="458"/>
      <c r="G199" s="458"/>
      <c r="H199" s="458"/>
      <c r="I199" s="458"/>
      <c r="J199" s="458"/>
      <c r="K199" s="458"/>
      <c r="L199" s="458"/>
      <c r="M199" s="458"/>
      <c r="N199" s="458"/>
      <c r="O199" s="458"/>
      <c r="P199" s="458"/>
      <c r="Q199" s="458"/>
      <c r="R199" s="458"/>
      <c r="S199" s="458"/>
      <c r="T199" s="458"/>
      <c r="U199" s="458"/>
      <c r="V199" s="458"/>
      <c r="W199" s="458"/>
    </row>
    <row r="200" spans="1:23" ht="15.75" customHeight="1">
      <c r="A200" s="458"/>
      <c r="B200" s="458"/>
      <c r="C200" s="458"/>
      <c r="D200" s="458"/>
      <c r="E200" s="458"/>
      <c r="F200" s="458"/>
      <c r="G200" s="458"/>
      <c r="H200" s="458"/>
      <c r="I200" s="458"/>
      <c r="J200" s="458"/>
      <c r="K200" s="458"/>
      <c r="L200" s="458"/>
      <c r="M200" s="458"/>
      <c r="N200" s="458"/>
      <c r="O200" s="458"/>
      <c r="P200" s="458"/>
      <c r="Q200" s="458"/>
      <c r="R200" s="458"/>
      <c r="S200" s="458"/>
      <c r="T200" s="458"/>
      <c r="U200" s="458"/>
      <c r="V200" s="458"/>
      <c r="W200" s="458"/>
    </row>
    <row r="201" spans="1:23" ht="15.75" customHeight="1">
      <c r="A201" s="458"/>
      <c r="B201" s="458"/>
      <c r="C201" s="458"/>
      <c r="D201" s="458"/>
      <c r="E201" s="458"/>
      <c r="F201" s="458"/>
      <c r="G201" s="458"/>
      <c r="H201" s="458"/>
      <c r="I201" s="458"/>
      <c r="J201" s="458"/>
      <c r="K201" s="458"/>
      <c r="L201" s="458"/>
      <c r="M201" s="458"/>
      <c r="N201" s="458"/>
      <c r="O201" s="458"/>
      <c r="P201" s="458"/>
      <c r="Q201" s="458"/>
      <c r="R201" s="458"/>
      <c r="S201" s="458"/>
      <c r="T201" s="458"/>
      <c r="U201" s="458"/>
      <c r="V201" s="458"/>
      <c r="W201" s="458"/>
    </row>
    <row r="202" spans="1:23" ht="15.75" customHeight="1">
      <c r="A202" s="458"/>
      <c r="B202" s="458"/>
      <c r="C202" s="458"/>
      <c r="D202" s="458"/>
      <c r="E202" s="458"/>
      <c r="F202" s="458"/>
      <c r="G202" s="458"/>
      <c r="H202" s="458"/>
      <c r="I202" s="458"/>
      <c r="J202" s="458"/>
      <c r="K202" s="458"/>
      <c r="L202" s="458"/>
      <c r="M202" s="458"/>
      <c r="N202" s="458"/>
      <c r="O202" s="458"/>
      <c r="P202" s="458"/>
      <c r="Q202" s="458"/>
      <c r="R202" s="458"/>
      <c r="S202" s="458"/>
      <c r="T202" s="458"/>
      <c r="U202" s="458"/>
      <c r="V202" s="458"/>
      <c r="W202" s="458"/>
    </row>
    <row r="203" spans="1:23" ht="15.75" customHeight="1">
      <c r="A203" s="458"/>
      <c r="B203" s="458"/>
      <c r="C203" s="458"/>
      <c r="D203" s="458"/>
      <c r="E203" s="458"/>
      <c r="F203" s="458"/>
      <c r="G203" s="458"/>
      <c r="H203" s="458"/>
      <c r="I203" s="458"/>
      <c r="J203" s="458"/>
      <c r="K203" s="458"/>
      <c r="L203" s="458"/>
      <c r="M203" s="458"/>
      <c r="N203" s="458"/>
      <c r="O203" s="458"/>
      <c r="P203" s="458"/>
      <c r="Q203" s="458"/>
      <c r="R203" s="458"/>
      <c r="S203" s="458"/>
      <c r="T203" s="458"/>
      <c r="U203" s="458"/>
      <c r="V203" s="458"/>
      <c r="W203" s="458"/>
    </row>
    <row r="204" spans="1:23" ht="15.75" customHeight="1">
      <c r="A204" s="458"/>
      <c r="B204" s="458"/>
      <c r="C204" s="458"/>
      <c r="D204" s="458"/>
      <c r="E204" s="458"/>
      <c r="F204" s="458"/>
      <c r="G204" s="458"/>
      <c r="H204" s="458"/>
      <c r="I204" s="458"/>
      <c r="J204" s="458"/>
      <c r="K204" s="458"/>
      <c r="L204" s="458"/>
      <c r="M204" s="458"/>
      <c r="N204" s="458"/>
      <c r="O204" s="458"/>
      <c r="P204" s="458"/>
      <c r="Q204" s="458"/>
      <c r="R204" s="458"/>
      <c r="S204" s="458"/>
      <c r="T204" s="458"/>
      <c r="U204" s="458"/>
      <c r="V204" s="458"/>
      <c r="W204" s="458"/>
    </row>
    <row r="205" spans="1:23" ht="15.75" customHeight="1">
      <c r="A205" s="458"/>
      <c r="B205" s="458"/>
      <c r="C205" s="458"/>
      <c r="D205" s="458"/>
      <c r="E205" s="458"/>
      <c r="F205" s="458"/>
      <c r="G205" s="458"/>
      <c r="H205" s="458"/>
      <c r="I205" s="458"/>
      <c r="J205" s="458"/>
      <c r="K205" s="458"/>
      <c r="L205" s="458"/>
      <c r="M205" s="458"/>
      <c r="N205" s="458"/>
      <c r="O205" s="458"/>
      <c r="P205" s="458"/>
      <c r="Q205" s="458"/>
      <c r="R205" s="458"/>
      <c r="S205" s="458"/>
      <c r="T205" s="458"/>
      <c r="U205" s="458"/>
      <c r="V205" s="458"/>
      <c r="W205" s="458"/>
    </row>
    <row r="206" spans="1:23" ht="15.75" customHeight="1">
      <c r="A206" s="458"/>
      <c r="B206" s="458"/>
      <c r="C206" s="458"/>
      <c r="D206" s="458"/>
      <c r="E206" s="458"/>
      <c r="F206" s="458"/>
      <c r="G206" s="458"/>
      <c r="H206" s="458"/>
      <c r="I206" s="458"/>
      <c r="J206" s="458"/>
      <c r="K206" s="458"/>
      <c r="L206" s="458"/>
      <c r="M206" s="458"/>
      <c r="N206" s="458"/>
      <c r="O206" s="458"/>
      <c r="P206" s="458"/>
      <c r="Q206" s="458"/>
      <c r="R206" s="458"/>
      <c r="S206" s="458"/>
      <c r="T206" s="458"/>
      <c r="U206" s="458"/>
      <c r="V206" s="458"/>
      <c r="W206" s="458"/>
    </row>
    <row r="207" spans="1:23" ht="15.75" customHeight="1">
      <c r="A207" s="458"/>
      <c r="B207" s="458"/>
      <c r="C207" s="458"/>
      <c r="D207" s="458"/>
      <c r="E207" s="458"/>
      <c r="F207" s="458"/>
      <c r="G207" s="458"/>
      <c r="H207" s="458"/>
      <c r="I207" s="458"/>
      <c r="J207" s="458"/>
      <c r="K207" s="458"/>
      <c r="L207" s="458"/>
      <c r="M207" s="458"/>
      <c r="N207" s="458"/>
      <c r="O207" s="458"/>
      <c r="P207" s="458"/>
      <c r="Q207" s="458"/>
      <c r="R207" s="458"/>
      <c r="S207" s="458"/>
      <c r="T207" s="458"/>
      <c r="U207" s="458"/>
      <c r="V207" s="458"/>
      <c r="W207" s="458"/>
    </row>
    <row r="208" spans="1:23" ht="15.75" customHeight="1">
      <c r="A208" s="458"/>
      <c r="B208" s="458"/>
      <c r="C208" s="458"/>
      <c r="D208" s="458"/>
      <c r="E208" s="458"/>
      <c r="F208" s="458"/>
      <c r="G208" s="458"/>
      <c r="H208" s="458"/>
      <c r="I208" s="458"/>
      <c r="J208" s="458"/>
      <c r="K208" s="458"/>
      <c r="L208" s="458"/>
      <c r="M208" s="458"/>
      <c r="N208" s="458"/>
      <c r="O208" s="458"/>
      <c r="P208" s="458"/>
      <c r="Q208" s="458"/>
      <c r="R208" s="458"/>
      <c r="S208" s="458"/>
      <c r="T208" s="458"/>
      <c r="U208" s="458"/>
      <c r="V208" s="458"/>
      <c r="W208" s="458"/>
    </row>
    <row r="209" spans="1:23" ht="15.75" customHeight="1">
      <c r="A209" s="458"/>
      <c r="B209" s="458"/>
      <c r="C209" s="458"/>
      <c r="D209" s="458"/>
      <c r="E209" s="458"/>
      <c r="F209" s="458"/>
      <c r="G209" s="458"/>
      <c r="H209" s="458"/>
      <c r="I209" s="458"/>
      <c r="J209" s="458"/>
      <c r="K209" s="458"/>
      <c r="L209" s="458"/>
      <c r="M209" s="458"/>
      <c r="N209" s="458"/>
      <c r="O209" s="458"/>
      <c r="P209" s="458"/>
      <c r="Q209" s="458"/>
      <c r="R209" s="458"/>
      <c r="S209" s="458"/>
      <c r="T209" s="458"/>
      <c r="U209" s="458"/>
      <c r="V209" s="458"/>
      <c r="W209" s="458"/>
    </row>
    <row r="210" spans="1:23" ht="15.75" customHeight="1">
      <c r="A210" s="458"/>
      <c r="B210" s="458"/>
      <c r="C210" s="458"/>
      <c r="D210" s="458"/>
      <c r="E210" s="458"/>
      <c r="F210" s="458"/>
      <c r="G210" s="458"/>
      <c r="H210" s="458"/>
      <c r="I210" s="458"/>
      <c r="J210" s="458"/>
      <c r="K210" s="458"/>
      <c r="L210" s="458"/>
      <c r="M210" s="458"/>
      <c r="N210" s="458"/>
      <c r="O210" s="458"/>
      <c r="P210" s="458"/>
      <c r="Q210" s="458"/>
      <c r="R210" s="458"/>
      <c r="S210" s="458"/>
      <c r="T210" s="458"/>
      <c r="U210" s="458"/>
      <c r="V210" s="458"/>
      <c r="W210" s="458"/>
    </row>
    <row r="211" spans="1:23" ht="15.75" customHeight="1">
      <c r="A211" s="458"/>
      <c r="B211" s="458"/>
      <c r="C211" s="458"/>
      <c r="D211" s="458"/>
      <c r="E211" s="458"/>
      <c r="F211" s="458"/>
      <c r="G211" s="458"/>
      <c r="H211" s="458"/>
      <c r="I211" s="458"/>
      <c r="J211" s="458"/>
      <c r="K211" s="458"/>
      <c r="L211" s="458"/>
      <c r="M211" s="458"/>
      <c r="N211" s="458"/>
      <c r="O211" s="458"/>
      <c r="P211" s="458"/>
      <c r="Q211" s="458"/>
      <c r="R211" s="458"/>
      <c r="S211" s="458"/>
      <c r="T211" s="458"/>
      <c r="U211" s="458"/>
      <c r="V211" s="458"/>
      <c r="W211" s="458"/>
    </row>
    <row r="212" spans="1:23" ht="15.75" customHeight="1">
      <c r="A212" s="458"/>
      <c r="B212" s="458"/>
      <c r="C212" s="458"/>
      <c r="D212" s="458"/>
      <c r="E212" s="458"/>
      <c r="F212" s="458"/>
      <c r="G212" s="458"/>
      <c r="H212" s="458"/>
      <c r="I212" s="458"/>
      <c r="J212" s="458"/>
      <c r="K212" s="458"/>
      <c r="L212" s="458"/>
      <c r="M212" s="458"/>
      <c r="N212" s="458"/>
      <c r="O212" s="458"/>
      <c r="P212" s="458"/>
      <c r="Q212" s="458"/>
      <c r="R212" s="458"/>
      <c r="S212" s="458"/>
      <c r="T212" s="458"/>
      <c r="U212" s="458"/>
      <c r="V212" s="458"/>
      <c r="W212" s="458"/>
    </row>
    <row r="213" spans="1:23" ht="15.75" customHeight="1">
      <c r="A213" s="458"/>
      <c r="B213" s="458"/>
      <c r="C213" s="458"/>
      <c r="D213" s="458"/>
      <c r="E213" s="458"/>
      <c r="F213" s="458"/>
      <c r="G213" s="458"/>
      <c r="H213" s="458"/>
      <c r="I213" s="458"/>
      <c r="J213" s="458"/>
      <c r="K213" s="458"/>
      <c r="L213" s="458"/>
      <c r="M213" s="458"/>
      <c r="N213" s="458"/>
      <c r="O213" s="458"/>
      <c r="P213" s="458"/>
      <c r="Q213" s="458"/>
      <c r="R213" s="458"/>
      <c r="S213" s="458"/>
      <c r="T213" s="458"/>
      <c r="U213" s="458"/>
      <c r="V213" s="458"/>
      <c r="W213" s="458"/>
    </row>
    <row r="214" spans="1:23" ht="15.75" customHeight="1">
      <c r="A214" s="458"/>
      <c r="B214" s="458"/>
      <c r="C214" s="458"/>
      <c r="D214" s="458"/>
      <c r="E214" s="458"/>
      <c r="F214" s="458"/>
      <c r="G214" s="458"/>
      <c r="H214" s="458"/>
      <c r="I214" s="458"/>
      <c r="J214" s="458"/>
      <c r="K214" s="458"/>
      <c r="L214" s="458"/>
      <c r="M214" s="458"/>
      <c r="N214" s="458"/>
      <c r="O214" s="458"/>
      <c r="P214" s="458"/>
      <c r="Q214" s="458"/>
      <c r="R214" s="458"/>
      <c r="S214" s="458"/>
      <c r="T214" s="458"/>
      <c r="U214" s="458"/>
      <c r="V214" s="458"/>
      <c r="W214" s="458"/>
    </row>
    <row r="215" spans="1:23" ht="15.75" customHeight="1">
      <c r="A215" s="458"/>
      <c r="B215" s="458"/>
      <c r="C215" s="458"/>
      <c r="D215" s="458"/>
      <c r="E215" s="458"/>
      <c r="F215" s="458"/>
      <c r="G215" s="458"/>
      <c r="H215" s="458"/>
      <c r="I215" s="458"/>
      <c r="J215" s="458"/>
      <c r="K215" s="458"/>
      <c r="L215" s="458"/>
      <c r="M215" s="458"/>
      <c r="N215" s="458"/>
      <c r="O215" s="458"/>
      <c r="P215" s="458"/>
      <c r="Q215" s="458"/>
      <c r="R215" s="458"/>
      <c r="S215" s="458"/>
      <c r="T215" s="458"/>
      <c r="U215" s="458"/>
      <c r="V215" s="458"/>
      <c r="W215" s="458"/>
    </row>
    <row r="216" spans="1:23" ht="15.75" customHeight="1">
      <c r="A216" s="458"/>
      <c r="B216" s="458"/>
      <c r="C216" s="458"/>
      <c r="D216" s="458"/>
      <c r="E216" s="458"/>
      <c r="F216" s="458"/>
      <c r="G216" s="458"/>
      <c r="H216" s="458"/>
      <c r="I216" s="458"/>
      <c r="J216" s="458"/>
      <c r="K216" s="458"/>
      <c r="L216" s="458"/>
      <c r="M216" s="458"/>
      <c r="N216" s="458"/>
      <c r="O216" s="458"/>
      <c r="P216" s="458"/>
      <c r="Q216" s="458"/>
      <c r="R216" s="458"/>
      <c r="S216" s="458"/>
      <c r="T216" s="458"/>
      <c r="U216" s="458"/>
      <c r="V216" s="458"/>
      <c r="W216" s="458"/>
    </row>
    <row r="217" spans="1:23" ht="15.75" customHeight="1">
      <c r="A217" s="458"/>
      <c r="B217" s="458"/>
      <c r="C217" s="458"/>
      <c r="D217" s="458"/>
      <c r="E217" s="458"/>
      <c r="F217" s="458"/>
      <c r="G217" s="458"/>
      <c r="H217" s="458"/>
      <c r="I217" s="458"/>
      <c r="J217" s="458"/>
      <c r="K217" s="458"/>
      <c r="L217" s="458"/>
      <c r="M217" s="458"/>
      <c r="N217" s="458"/>
      <c r="O217" s="458"/>
      <c r="P217" s="458"/>
      <c r="Q217" s="458"/>
      <c r="R217" s="458"/>
      <c r="S217" s="458"/>
      <c r="T217" s="458"/>
      <c r="U217" s="458"/>
      <c r="V217" s="458"/>
      <c r="W217" s="458"/>
    </row>
    <row r="218" spans="1:23" ht="15.75" customHeight="1">
      <c r="A218" s="458"/>
      <c r="B218" s="458"/>
      <c r="C218" s="458"/>
      <c r="D218" s="458"/>
      <c r="E218" s="458"/>
      <c r="F218" s="458"/>
      <c r="G218" s="458"/>
      <c r="H218" s="458"/>
      <c r="I218" s="458"/>
      <c r="J218" s="458"/>
      <c r="K218" s="458"/>
      <c r="L218" s="458"/>
      <c r="M218" s="458"/>
      <c r="N218" s="458"/>
      <c r="O218" s="458"/>
      <c r="P218" s="458"/>
      <c r="Q218" s="458"/>
      <c r="R218" s="458"/>
      <c r="S218" s="458"/>
      <c r="T218" s="458"/>
      <c r="U218" s="458"/>
      <c r="V218" s="458"/>
      <c r="W218" s="458"/>
    </row>
    <row r="219" spans="1:23" ht="15.75" customHeight="1">
      <c r="A219" s="458"/>
      <c r="B219" s="458"/>
      <c r="C219" s="458"/>
      <c r="D219" s="458"/>
      <c r="E219" s="458"/>
      <c r="F219" s="458"/>
      <c r="G219" s="458"/>
      <c r="H219" s="458"/>
      <c r="I219" s="458"/>
      <c r="J219" s="458"/>
      <c r="K219" s="458"/>
      <c r="L219" s="458"/>
      <c r="M219" s="458"/>
      <c r="N219" s="458"/>
      <c r="O219" s="458"/>
      <c r="P219" s="458"/>
      <c r="Q219" s="458"/>
      <c r="R219" s="458"/>
      <c r="S219" s="458"/>
      <c r="T219" s="458"/>
      <c r="U219" s="458"/>
      <c r="V219" s="458"/>
      <c r="W219" s="458"/>
    </row>
    <row r="220" spans="1:23" ht="15.75" customHeight="1">
      <c r="A220" s="458"/>
      <c r="B220" s="458"/>
      <c r="C220" s="458"/>
      <c r="D220" s="458"/>
      <c r="E220" s="458"/>
      <c r="F220" s="458"/>
      <c r="G220" s="458"/>
      <c r="H220" s="458"/>
      <c r="I220" s="458"/>
      <c r="J220" s="458"/>
      <c r="K220" s="458"/>
      <c r="L220" s="458"/>
      <c r="M220" s="458"/>
      <c r="N220" s="458"/>
      <c r="O220" s="458"/>
      <c r="P220" s="458"/>
      <c r="Q220" s="458"/>
      <c r="R220" s="458"/>
      <c r="S220" s="458"/>
      <c r="T220" s="458"/>
      <c r="U220" s="458"/>
      <c r="V220" s="458"/>
      <c r="W220" s="458"/>
    </row>
    <row r="221" spans="1:23" ht="15.75" customHeight="1">
      <c r="A221" s="458"/>
      <c r="B221" s="458"/>
      <c r="C221" s="458"/>
      <c r="D221" s="458"/>
      <c r="E221" s="458"/>
      <c r="F221" s="458"/>
      <c r="G221" s="458"/>
      <c r="H221" s="458"/>
      <c r="I221" s="458"/>
      <c r="J221" s="458"/>
      <c r="K221" s="458"/>
      <c r="L221" s="458"/>
      <c r="M221" s="458"/>
      <c r="N221" s="458"/>
      <c r="O221" s="458"/>
      <c r="P221" s="458"/>
      <c r="Q221" s="458"/>
      <c r="R221" s="458"/>
      <c r="S221" s="458"/>
      <c r="T221" s="458"/>
      <c r="U221" s="458"/>
      <c r="V221" s="458"/>
      <c r="W221" s="458"/>
    </row>
    <row r="222" spans="1:23" ht="15.75" customHeight="1">
      <c r="A222" s="458"/>
      <c r="B222" s="458"/>
      <c r="C222" s="458"/>
      <c r="D222" s="458"/>
      <c r="E222" s="458"/>
      <c r="F222" s="458"/>
      <c r="G222" s="458"/>
      <c r="H222" s="458"/>
      <c r="I222" s="458"/>
      <c r="J222" s="458"/>
      <c r="K222" s="458"/>
      <c r="L222" s="458"/>
      <c r="M222" s="458"/>
      <c r="N222" s="458"/>
      <c r="O222" s="458"/>
      <c r="P222" s="458"/>
      <c r="Q222" s="458"/>
      <c r="R222" s="458"/>
      <c r="S222" s="458"/>
      <c r="T222" s="458"/>
      <c r="U222" s="458"/>
      <c r="V222" s="458"/>
      <c r="W222" s="458"/>
    </row>
    <row r="223" spans="1:23" ht="15.75" customHeight="1">
      <c r="A223" s="458"/>
      <c r="B223" s="458"/>
      <c r="C223" s="458"/>
      <c r="D223" s="458"/>
      <c r="E223" s="458"/>
      <c r="F223" s="458"/>
      <c r="G223" s="458"/>
      <c r="H223" s="458"/>
      <c r="I223" s="458"/>
      <c r="J223" s="458"/>
      <c r="K223" s="458"/>
      <c r="L223" s="458"/>
      <c r="M223" s="458"/>
      <c r="N223" s="458"/>
      <c r="O223" s="458"/>
      <c r="P223" s="458"/>
      <c r="Q223" s="458"/>
      <c r="R223" s="458"/>
      <c r="S223" s="458"/>
      <c r="T223" s="458"/>
      <c r="U223" s="458"/>
      <c r="V223" s="458"/>
      <c r="W223" s="458"/>
    </row>
    <row r="224" spans="1:23" ht="15.75" customHeight="1">
      <c r="A224" s="458"/>
      <c r="B224" s="458"/>
      <c r="C224" s="458"/>
      <c r="D224" s="458"/>
      <c r="E224" s="458"/>
      <c r="F224" s="458"/>
      <c r="G224" s="458"/>
      <c r="H224" s="458"/>
      <c r="I224" s="458"/>
      <c r="J224" s="458"/>
      <c r="K224" s="458"/>
      <c r="L224" s="458"/>
      <c r="M224" s="458"/>
      <c r="N224" s="458"/>
      <c r="O224" s="458"/>
      <c r="P224" s="458"/>
      <c r="Q224" s="458"/>
      <c r="R224" s="458"/>
      <c r="S224" s="458"/>
      <c r="T224" s="458"/>
      <c r="U224" s="458"/>
      <c r="V224" s="458"/>
      <c r="W224" s="458"/>
    </row>
    <row r="225" spans="1:23" ht="15.75" customHeight="1">
      <c r="A225" s="458"/>
      <c r="B225" s="458"/>
      <c r="C225" s="458"/>
      <c r="D225" s="458"/>
      <c r="E225" s="458"/>
      <c r="F225" s="458"/>
      <c r="G225" s="458"/>
      <c r="H225" s="458"/>
      <c r="I225" s="458"/>
      <c r="J225" s="458"/>
      <c r="K225" s="458"/>
      <c r="L225" s="458"/>
      <c r="M225" s="458"/>
      <c r="N225" s="458"/>
      <c r="O225" s="458"/>
      <c r="P225" s="458"/>
      <c r="Q225" s="458"/>
      <c r="R225" s="458"/>
      <c r="S225" s="458"/>
      <c r="T225" s="458"/>
      <c r="U225" s="458"/>
      <c r="V225" s="458"/>
      <c r="W225" s="458"/>
    </row>
    <row r="226" spans="1:23" ht="15.75" customHeight="1">
      <c r="A226" s="458"/>
      <c r="B226" s="458"/>
      <c r="C226" s="458"/>
      <c r="D226" s="458"/>
      <c r="E226" s="458"/>
      <c r="F226" s="458"/>
      <c r="G226" s="458"/>
      <c r="H226" s="458"/>
      <c r="I226" s="458"/>
      <c r="J226" s="458"/>
      <c r="K226" s="458"/>
      <c r="L226" s="458"/>
      <c r="M226" s="458"/>
      <c r="N226" s="458"/>
      <c r="O226" s="458"/>
      <c r="P226" s="458"/>
      <c r="Q226" s="458"/>
      <c r="R226" s="458"/>
      <c r="S226" s="458"/>
      <c r="T226" s="458"/>
      <c r="U226" s="458"/>
      <c r="V226" s="458"/>
      <c r="W226" s="458"/>
    </row>
    <row r="227" spans="1:23" ht="15.75" customHeight="1">
      <c r="A227" s="458"/>
      <c r="B227" s="458"/>
      <c r="C227" s="458"/>
      <c r="D227" s="458"/>
      <c r="E227" s="458"/>
      <c r="F227" s="458"/>
      <c r="G227" s="458"/>
      <c r="H227" s="458"/>
      <c r="I227" s="458"/>
      <c r="J227" s="458"/>
      <c r="K227" s="458"/>
      <c r="L227" s="458"/>
      <c r="M227" s="458"/>
      <c r="N227" s="458"/>
      <c r="O227" s="458"/>
      <c r="P227" s="458"/>
      <c r="Q227" s="458"/>
      <c r="R227" s="458"/>
      <c r="S227" s="458"/>
      <c r="T227" s="458"/>
      <c r="U227" s="458"/>
      <c r="V227" s="458"/>
      <c r="W227" s="458"/>
    </row>
    <row r="228" spans="1:23" ht="15.75" customHeight="1">
      <c r="A228" s="458"/>
      <c r="B228" s="458"/>
      <c r="C228" s="458"/>
      <c r="D228" s="458"/>
      <c r="E228" s="458"/>
      <c r="F228" s="458"/>
      <c r="G228" s="458"/>
      <c r="H228" s="458"/>
      <c r="I228" s="458"/>
      <c r="J228" s="458"/>
      <c r="K228" s="458"/>
      <c r="L228" s="458"/>
      <c r="M228" s="458"/>
      <c r="N228" s="458"/>
      <c r="O228" s="458"/>
      <c r="P228" s="458"/>
      <c r="Q228" s="458"/>
      <c r="R228" s="458"/>
      <c r="S228" s="458"/>
      <c r="T228" s="458"/>
      <c r="U228" s="458"/>
      <c r="V228" s="458"/>
      <c r="W228" s="458"/>
    </row>
    <row r="229" spans="1:23" ht="15.75" customHeight="1">
      <c r="A229" s="458"/>
      <c r="B229" s="458"/>
      <c r="C229" s="458"/>
      <c r="D229" s="458"/>
      <c r="E229" s="458"/>
      <c r="F229" s="458"/>
      <c r="G229" s="458"/>
      <c r="H229" s="458"/>
      <c r="I229" s="458"/>
      <c r="J229" s="458"/>
      <c r="K229" s="458"/>
      <c r="L229" s="458"/>
      <c r="M229" s="458"/>
      <c r="N229" s="458"/>
      <c r="O229" s="458"/>
      <c r="P229" s="458"/>
      <c r="Q229" s="458"/>
      <c r="R229" s="458"/>
      <c r="S229" s="458"/>
      <c r="T229" s="458"/>
      <c r="U229" s="458"/>
      <c r="V229" s="458"/>
      <c r="W229" s="458"/>
    </row>
    <row r="230" spans="1:23" ht="15.75" customHeight="1">
      <c r="A230" s="458"/>
      <c r="B230" s="458"/>
      <c r="C230" s="458"/>
      <c r="D230" s="458"/>
      <c r="E230" s="458"/>
      <c r="F230" s="458"/>
      <c r="G230" s="458"/>
      <c r="H230" s="458"/>
      <c r="I230" s="458"/>
      <c r="J230" s="458"/>
      <c r="K230" s="458"/>
      <c r="L230" s="458"/>
      <c r="M230" s="458"/>
      <c r="N230" s="458"/>
      <c r="O230" s="458"/>
      <c r="P230" s="458"/>
      <c r="Q230" s="458"/>
      <c r="R230" s="458"/>
      <c r="S230" s="458"/>
      <c r="T230" s="458"/>
      <c r="U230" s="458"/>
      <c r="V230" s="458"/>
      <c r="W230" s="458"/>
    </row>
    <row r="231" spans="1:23" ht="15.75" customHeight="1">
      <c r="A231" s="458"/>
      <c r="B231" s="458"/>
      <c r="C231" s="458"/>
      <c r="D231" s="458"/>
      <c r="E231" s="458"/>
      <c r="F231" s="458"/>
      <c r="G231" s="458"/>
      <c r="H231" s="458"/>
      <c r="I231" s="458"/>
      <c r="J231" s="458"/>
      <c r="K231" s="458"/>
      <c r="L231" s="458"/>
      <c r="M231" s="458"/>
      <c r="N231" s="458"/>
      <c r="O231" s="458"/>
      <c r="P231" s="458"/>
      <c r="Q231" s="458"/>
      <c r="R231" s="458"/>
      <c r="S231" s="458"/>
      <c r="T231" s="458"/>
      <c r="U231" s="458"/>
      <c r="V231" s="458"/>
      <c r="W231" s="458"/>
    </row>
    <row r="232" spans="1:23" ht="15.75" customHeight="1">
      <c r="A232" s="458"/>
      <c r="B232" s="458"/>
      <c r="C232" s="458"/>
      <c r="D232" s="458"/>
      <c r="E232" s="458"/>
      <c r="F232" s="458"/>
      <c r="G232" s="458"/>
      <c r="H232" s="458"/>
      <c r="I232" s="458"/>
      <c r="J232" s="458"/>
      <c r="K232" s="458"/>
      <c r="L232" s="458"/>
      <c r="M232" s="458"/>
      <c r="N232" s="458"/>
      <c r="O232" s="458"/>
      <c r="P232" s="458"/>
      <c r="Q232" s="458"/>
      <c r="R232" s="458"/>
      <c r="S232" s="458"/>
      <c r="T232" s="458"/>
      <c r="U232" s="458"/>
      <c r="V232" s="458"/>
      <c r="W232" s="458"/>
    </row>
    <row r="233" spans="1:23" ht="15.75" customHeight="1">
      <c r="A233" s="458"/>
      <c r="B233" s="458"/>
      <c r="C233" s="458"/>
      <c r="D233" s="458"/>
      <c r="E233" s="458"/>
      <c r="F233" s="458"/>
      <c r="G233" s="458"/>
      <c r="H233" s="458"/>
      <c r="I233" s="458"/>
      <c r="J233" s="458"/>
      <c r="K233" s="458"/>
      <c r="L233" s="458"/>
      <c r="M233" s="458"/>
      <c r="N233" s="458"/>
      <c r="O233" s="458"/>
      <c r="P233" s="458"/>
      <c r="Q233" s="458"/>
      <c r="R233" s="458"/>
      <c r="S233" s="458"/>
      <c r="T233" s="458"/>
      <c r="U233" s="458"/>
      <c r="V233" s="458"/>
      <c r="W233" s="458"/>
    </row>
    <row r="234" spans="1:23" ht="15.75" customHeight="1">
      <c r="A234" s="458"/>
      <c r="B234" s="458"/>
      <c r="C234" s="458"/>
      <c r="D234" s="458"/>
      <c r="E234" s="458"/>
      <c r="F234" s="458"/>
      <c r="G234" s="458"/>
      <c r="H234" s="458"/>
      <c r="I234" s="458"/>
      <c r="J234" s="458"/>
      <c r="K234" s="458"/>
      <c r="L234" s="458"/>
      <c r="M234" s="458"/>
      <c r="N234" s="458"/>
      <c r="O234" s="458"/>
      <c r="P234" s="458"/>
      <c r="Q234" s="458"/>
      <c r="R234" s="458"/>
      <c r="S234" s="458"/>
      <c r="T234" s="458"/>
      <c r="U234" s="458"/>
      <c r="V234" s="458"/>
      <c r="W234" s="458"/>
    </row>
    <row r="235" spans="1:23" ht="15.75" customHeight="1">
      <c r="A235" s="458"/>
      <c r="B235" s="458"/>
      <c r="C235" s="458"/>
      <c r="D235" s="458"/>
      <c r="E235" s="458"/>
      <c r="F235" s="458"/>
      <c r="G235" s="458"/>
      <c r="H235" s="458"/>
      <c r="I235" s="458"/>
      <c r="J235" s="458"/>
      <c r="K235" s="458"/>
      <c r="L235" s="458"/>
      <c r="M235" s="458"/>
      <c r="N235" s="458"/>
      <c r="O235" s="458"/>
      <c r="P235" s="458"/>
      <c r="Q235" s="458"/>
      <c r="R235" s="458"/>
      <c r="S235" s="458"/>
      <c r="T235" s="458"/>
      <c r="U235" s="458"/>
      <c r="V235" s="458"/>
      <c r="W235" s="458"/>
    </row>
    <row r="236" spans="1:23" ht="15.75" customHeight="1">
      <c r="A236" s="458"/>
      <c r="B236" s="458"/>
      <c r="C236" s="458"/>
      <c r="D236" s="458"/>
      <c r="E236" s="458"/>
      <c r="F236" s="458"/>
      <c r="G236" s="458"/>
      <c r="H236" s="458"/>
      <c r="I236" s="458"/>
      <c r="J236" s="458"/>
      <c r="K236" s="458"/>
      <c r="L236" s="458"/>
      <c r="M236" s="458"/>
      <c r="N236" s="458"/>
      <c r="O236" s="458"/>
      <c r="P236" s="458"/>
      <c r="Q236" s="458"/>
      <c r="R236" s="458"/>
      <c r="S236" s="458"/>
      <c r="T236" s="458"/>
      <c r="U236" s="458"/>
      <c r="V236" s="458"/>
      <c r="W236" s="458"/>
    </row>
    <row r="237" spans="1:23" ht="15.75" customHeight="1">
      <c r="A237" s="458"/>
      <c r="B237" s="458"/>
      <c r="C237" s="458"/>
      <c r="D237" s="458"/>
      <c r="E237" s="458"/>
      <c r="F237" s="458"/>
      <c r="G237" s="458"/>
      <c r="H237" s="458"/>
      <c r="I237" s="458"/>
      <c r="J237" s="458"/>
      <c r="K237" s="458"/>
      <c r="L237" s="458"/>
      <c r="M237" s="458"/>
      <c r="N237" s="458"/>
      <c r="O237" s="458"/>
      <c r="P237" s="458"/>
      <c r="Q237" s="458"/>
      <c r="R237" s="458"/>
      <c r="S237" s="458"/>
      <c r="T237" s="458"/>
      <c r="U237" s="458"/>
      <c r="V237" s="458"/>
      <c r="W237" s="458"/>
    </row>
    <row r="238" spans="1:23" ht="15.75" customHeight="1">
      <c r="A238" s="458"/>
      <c r="B238" s="458"/>
      <c r="C238" s="458"/>
      <c r="D238" s="458"/>
      <c r="E238" s="458"/>
      <c r="F238" s="458"/>
      <c r="G238" s="458"/>
      <c r="H238" s="458"/>
      <c r="I238" s="458"/>
      <c r="J238" s="458"/>
      <c r="K238" s="458"/>
      <c r="L238" s="458"/>
      <c r="M238" s="458"/>
      <c r="N238" s="458"/>
      <c r="O238" s="458"/>
      <c r="P238" s="458"/>
      <c r="Q238" s="458"/>
      <c r="R238" s="458"/>
      <c r="S238" s="458"/>
      <c r="T238" s="458"/>
      <c r="U238" s="458"/>
      <c r="V238" s="458"/>
      <c r="W238" s="458"/>
    </row>
    <row r="239" spans="1:23" ht="15.75" customHeight="1">
      <c r="A239" s="458"/>
      <c r="B239" s="458"/>
      <c r="C239" s="458"/>
      <c r="D239" s="458"/>
      <c r="E239" s="458"/>
      <c r="F239" s="458"/>
      <c r="G239" s="458"/>
      <c r="H239" s="458"/>
      <c r="I239" s="458"/>
      <c r="J239" s="458"/>
      <c r="K239" s="458"/>
      <c r="L239" s="458"/>
      <c r="M239" s="458"/>
      <c r="N239" s="458"/>
      <c r="O239" s="458"/>
      <c r="P239" s="458"/>
      <c r="Q239" s="458"/>
      <c r="R239" s="458"/>
      <c r="S239" s="458"/>
      <c r="T239" s="458"/>
      <c r="U239" s="458"/>
      <c r="V239" s="458"/>
      <c r="W239" s="458"/>
    </row>
    <row r="240" spans="1:23" ht="15.75" customHeight="1">
      <c r="A240" s="458"/>
      <c r="B240" s="458"/>
      <c r="C240" s="458"/>
      <c r="D240" s="458"/>
      <c r="E240" s="458"/>
      <c r="F240" s="458"/>
      <c r="G240" s="458"/>
      <c r="H240" s="458"/>
      <c r="I240" s="458"/>
      <c r="J240" s="458"/>
      <c r="K240" s="458"/>
      <c r="L240" s="458"/>
      <c r="M240" s="458"/>
      <c r="N240" s="458"/>
      <c r="O240" s="458"/>
      <c r="P240" s="458"/>
      <c r="Q240" s="458"/>
      <c r="R240" s="458"/>
      <c r="S240" s="458"/>
      <c r="T240" s="458"/>
      <c r="U240" s="458"/>
      <c r="V240" s="458"/>
      <c r="W240" s="458"/>
    </row>
    <row r="241" spans="1:23" ht="15.75" customHeight="1">
      <c r="A241" s="458"/>
      <c r="B241" s="458"/>
      <c r="C241" s="458"/>
      <c r="D241" s="458"/>
      <c r="E241" s="458"/>
      <c r="F241" s="458"/>
      <c r="G241" s="458"/>
      <c r="H241" s="458"/>
      <c r="I241" s="458"/>
      <c r="J241" s="458"/>
      <c r="K241" s="458"/>
      <c r="L241" s="458"/>
      <c r="M241" s="458"/>
      <c r="N241" s="458"/>
      <c r="O241" s="458"/>
      <c r="P241" s="458"/>
      <c r="Q241" s="458"/>
      <c r="R241" s="458"/>
      <c r="S241" s="458"/>
      <c r="T241" s="458"/>
      <c r="U241" s="458"/>
      <c r="V241" s="458"/>
      <c r="W241" s="458"/>
    </row>
    <row r="242" spans="1:23" ht="15.75" customHeight="1">
      <c r="A242" s="458"/>
      <c r="B242" s="458"/>
      <c r="C242" s="458"/>
      <c r="D242" s="458"/>
      <c r="E242" s="458"/>
      <c r="F242" s="458"/>
      <c r="G242" s="458"/>
      <c r="H242" s="458"/>
      <c r="I242" s="458"/>
      <c r="J242" s="458"/>
      <c r="K242" s="458"/>
      <c r="L242" s="458"/>
      <c r="M242" s="458"/>
      <c r="N242" s="458"/>
      <c r="O242" s="458"/>
      <c r="P242" s="458"/>
      <c r="Q242" s="458"/>
      <c r="R242" s="458"/>
      <c r="S242" s="458"/>
      <c r="T242" s="458"/>
      <c r="U242" s="458"/>
      <c r="V242" s="458"/>
      <c r="W242" s="458"/>
    </row>
    <row r="243" spans="1:23" ht="15.75" customHeight="1">
      <c r="A243" s="458"/>
      <c r="B243" s="458"/>
      <c r="C243" s="458"/>
      <c r="D243" s="458"/>
      <c r="E243" s="458"/>
      <c r="F243" s="458"/>
      <c r="G243" s="458"/>
      <c r="H243" s="458"/>
      <c r="I243" s="458"/>
      <c r="J243" s="458"/>
      <c r="K243" s="458"/>
      <c r="L243" s="458"/>
      <c r="M243" s="458"/>
      <c r="N243" s="458"/>
      <c r="O243" s="458"/>
      <c r="P243" s="458"/>
      <c r="Q243" s="458"/>
      <c r="R243" s="458"/>
      <c r="S243" s="458"/>
      <c r="T243" s="458"/>
      <c r="U243" s="458"/>
      <c r="V243" s="458"/>
      <c r="W243" s="458"/>
    </row>
    <row r="244" spans="1:23" ht="15.75" customHeight="1">
      <c r="A244" s="458"/>
      <c r="B244" s="458"/>
      <c r="C244" s="458"/>
      <c r="D244" s="458"/>
      <c r="E244" s="458"/>
      <c r="F244" s="458"/>
      <c r="G244" s="458"/>
      <c r="H244" s="458"/>
      <c r="I244" s="458"/>
      <c r="J244" s="458"/>
      <c r="K244" s="458"/>
      <c r="L244" s="458"/>
      <c r="M244" s="458"/>
      <c r="N244" s="458"/>
      <c r="O244" s="458"/>
      <c r="P244" s="458"/>
      <c r="Q244" s="458"/>
      <c r="R244" s="458"/>
      <c r="S244" s="458"/>
      <c r="T244" s="458"/>
      <c r="U244" s="458"/>
      <c r="V244" s="458"/>
      <c r="W244" s="458"/>
    </row>
    <row r="245" spans="1:23" ht="15.75" customHeight="1">
      <c r="A245" s="458"/>
      <c r="B245" s="458"/>
      <c r="C245" s="458"/>
      <c r="D245" s="458"/>
      <c r="E245" s="458"/>
      <c r="F245" s="458"/>
      <c r="G245" s="458"/>
      <c r="H245" s="458"/>
      <c r="I245" s="458"/>
      <c r="J245" s="458"/>
      <c r="K245" s="458"/>
      <c r="L245" s="458"/>
      <c r="M245" s="458"/>
      <c r="N245" s="458"/>
      <c r="O245" s="458"/>
      <c r="P245" s="458"/>
      <c r="Q245" s="458"/>
      <c r="R245" s="458"/>
      <c r="S245" s="458"/>
      <c r="T245" s="458"/>
      <c r="U245" s="458"/>
      <c r="V245" s="458"/>
      <c r="W245" s="458"/>
    </row>
    <row r="246" spans="1:23" ht="15.75" customHeight="1">
      <c r="A246" s="458"/>
      <c r="B246" s="458"/>
      <c r="C246" s="458"/>
      <c r="D246" s="458"/>
      <c r="E246" s="458"/>
      <c r="F246" s="458"/>
      <c r="G246" s="458"/>
      <c r="H246" s="458"/>
      <c r="I246" s="458"/>
      <c r="J246" s="458"/>
      <c r="K246" s="458"/>
      <c r="L246" s="458"/>
      <c r="M246" s="458"/>
      <c r="N246" s="458"/>
      <c r="O246" s="458"/>
      <c r="P246" s="458"/>
      <c r="Q246" s="458"/>
      <c r="R246" s="458"/>
      <c r="S246" s="458"/>
      <c r="T246" s="458"/>
      <c r="U246" s="458"/>
      <c r="V246" s="458"/>
      <c r="W246" s="458"/>
    </row>
    <row r="247" spans="1:23" ht="15.75" customHeight="1">
      <c r="A247" s="458"/>
      <c r="B247" s="458"/>
      <c r="C247" s="458"/>
      <c r="D247" s="458"/>
      <c r="E247" s="458"/>
      <c r="F247" s="458"/>
      <c r="G247" s="458"/>
      <c r="H247" s="458"/>
      <c r="I247" s="458"/>
      <c r="J247" s="458"/>
      <c r="K247" s="458"/>
      <c r="L247" s="458"/>
      <c r="M247" s="458"/>
      <c r="N247" s="458"/>
      <c r="O247" s="458"/>
      <c r="P247" s="458"/>
      <c r="Q247" s="458"/>
      <c r="R247" s="458"/>
      <c r="S247" s="458"/>
      <c r="T247" s="458"/>
      <c r="U247" s="458"/>
      <c r="V247" s="458"/>
      <c r="W247" s="458"/>
    </row>
    <row r="248" spans="1:23" ht="15.75" customHeight="1">
      <c r="A248" s="458"/>
      <c r="B248" s="458"/>
      <c r="C248" s="458"/>
      <c r="D248" s="458"/>
      <c r="E248" s="458"/>
      <c r="F248" s="458"/>
      <c r="G248" s="458"/>
      <c r="H248" s="458"/>
      <c r="I248" s="458"/>
      <c r="J248" s="458"/>
      <c r="K248" s="458"/>
      <c r="L248" s="458"/>
      <c r="M248" s="458"/>
      <c r="N248" s="458"/>
      <c r="O248" s="458"/>
      <c r="P248" s="458"/>
      <c r="Q248" s="458"/>
      <c r="R248" s="458"/>
      <c r="S248" s="458"/>
      <c r="T248" s="458"/>
      <c r="U248" s="458"/>
      <c r="V248" s="458"/>
      <c r="W248" s="458"/>
    </row>
    <row r="249" spans="1:23" ht="15.75" customHeight="1">
      <c r="A249" s="458"/>
      <c r="B249" s="458"/>
      <c r="C249" s="458"/>
      <c r="D249" s="458"/>
      <c r="E249" s="458"/>
      <c r="F249" s="458"/>
      <c r="G249" s="458"/>
      <c r="H249" s="458"/>
      <c r="I249" s="458"/>
      <c r="J249" s="458"/>
      <c r="K249" s="458"/>
      <c r="L249" s="458"/>
      <c r="M249" s="458"/>
      <c r="N249" s="458"/>
      <c r="O249" s="458"/>
      <c r="P249" s="458"/>
      <c r="Q249" s="458"/>
      <c r="R249" s="458"/>
      <c r="S249" s="458"/>
      <c r="T249" s="458"/>
      <c r="U249" s="458"/>
      <c r="V249" s="458"/>
      <c r="W249" s="458"/>
    </row>
    <row r="250" spans="1:23" ht="15.75" customHeight="1">
      <c r="A250" s="458"/>
      <c r="B250" s="458"/>
      <c r="C250" s="458"/>
      <c r="D250" s="458"/>
      <c r="E250" s="458"/>
      <c r="F250" s="458"/>
      <c r="G250" s="458"/>
      <c r="H250" s="458"/>
      <c r="I250" s="458"/>
      <c r="J250" s="458"/>
      <c r="K250" s="458"/>
      <c r="L250" s="458"/>
      <c r="M250" s="458"/>
      <c r="N250" s="458"/>
      <c r="O250" s="458"/>
      <c r="P250" s="458"/>
      <c r="Q250" s="458"/>
      <c r="R250" s="458"/>
      <c r="S250" s="458"/>
      <c r="T250" s="458"/>
      <c r="U250" s="458"/>
      <c r="V250" s="458"/>
      <c r="W250" s="458"/>
    </row>
    <row r="251" spans="1:23" ht="15.75" customHeight="1">
      <c r="A251" s="458"/>
      <c r="B251" s="458"/>
      <c r="C251" s="458"/>
      <c r="D251" s="458"/>
      <c r="E251" s="458"/>
      <c r="F251" s="458"/>
      <c r="G251" s="458"/>
      <c r="H251" s="458"/>
      <c r="I251" s="458"/>
      <c r="J251" s="458"/>
      <c r="K251" s="458"/>
      <c r="L251" s="458"/>
      <c r="M251" s="458"/>
      <c r="N251" s="458"/>
      <c r="O251" s="458"/>
      <c r="P251" s="458"/>
      <c r="Q251" s="458"/>
      <c r="R251" s="458"/>
      <c r="S251" s="458"/>
      <c r="T251" s="458"/>
      <c r="U251" s="458"/>
      <c r="V251" s="458"/>
      <c r="W251" s="458"/>
    </row>
    <row r="252" spans="1:23" ht="15.75" customHeight="1">
      <c r="A252" s="458"/>
      <c r="B252" s="458"/>
      <c r="C252" s="458"/>
      <c r="D252" s="458"/>
      <c r="E252" s="458"/>
      <c r="F252" s="458"/>
      <c r="G252" s="458"/>
      <c r="H252" s="458"/>
      <c r="I252" s="458"/>
      <c r="J252" s="458"/>
      <c r="K252" s="458"/>
      <c r="L252" s="458"/>
      <c r="M252" s="458"/>
      <c r="N252" s="458"/>
      <c r="O252" s="458"/>
      <c r="P252" s="458"/>
      <c r="Q252" s="458"/>
      <c r="R252" s="458"/>
      <c r="S252" s="458"/>
      <c r="T252" s="458"/>
      <c r="U252" s="458"/>
      <c r="V252" s="458"/>
      <c r="W252" s="458"/>
    </row>
    <row r="253" spans="1:23" ht="15.75" customHeight="1">
      <c r="A253" s="458"/>
      <c r="B253" s="458"/>
      <c r="C253" s="458"/>
      <c r="D253" s="458"/>
      <c r="E253" s="458"/>
      <c r="F253" s="458"/>
      <c r="G253" s="458"/>
      <c r="H253" s="458"/>
      <c r="I253" s="458"/>
      <c r="J253" s="458"/>
      <c r="K253" s="458"/>
      <c r="L253" s="458"/>
      <c r="M253" s="458"/>
      <c r="N253" s="458"/>
      <c r="O253" s="458"/>
      <c r="P253" s="458"/>
      <c r="Q253" s="458"/>
      <c r="R253" s="458"/>
      <c r="S253" s="458"/>
      <c r="T253" s="458"/>
      <c r="U253" s="458"/>
      <c r="V253" s="458"/>
      <c r="W253" s="458"/>
    </row>
    <row r="254" spans="1:23" ht="15.75" customHeight="1">
      <c r="A254" s="458"/>
      <c r="B254" s="458"/>
      <c r="C254" s="458"/>
      <c r="D254" s="458"/>
      <c r="E254" s="458"/>
      <c r="F254" s="458"/>
      <c r="G254" s="458"/>
      <c r="H254" s="458"/>
      <c r="I254" s="458"/>
      <c r="J254" s="458"/>
      <c r="K254" s="458"/>
      <c r="L254" s="458"/>
      <c r="M254" s="458"/>
      <c r="N254" s="458"/>
      <c r="O254" s="458"/>
      <c r="P254" s="458"/>
      <c r="Q254" s="458"/>
      <c r="R254" s="458"/>
      <c r="S254" s="458"/>
      <c r="T254" s="458"/>
      <c r="U254" s="458"/>
      <c r="V254" s="458"/>
      <c r="W254" s="458"/>
    </row>
    <row r="255" spans="1:23" ht="15.75" customHeight="1">
      <c r="A255" s="458"/>
      <c r="B255" s="458"/>
      <c r="C255" s="458"/>
      <c r="D255" s="458"/>
      <c r="E255" s="458"/>
      <c r="F255" s="458"/>
      <c r="G255" s="458"/>
      <c r="H255" s="458"/>
      <c r="I255" s="458"/>
      <c r="J255" s="458"/>
      <c r="K255" s="458"/>
      <c r="L255" s="458"/>
      <c r="M255" s="458"/>
      <c r="N255" s="458"/>
      <c r="O255" s="458"/>
      <c r="P255" s="458"/>
      <c r="Q255" s="458"/>
      <c r="R255" s="458"/>
      <c r="S255" s="458"/>
      <c r="T255" s="458"/>
      <c r="U255" s="458"/>
      <c r="V255" s="458"/>
      <c r="W255" s="458"/>
    </row>
    <row r="256" spans="1:23" ht="15.75" customHeight="1">
      <c r="A256" s="458"/>
      <c r="B256" s="458"/>
      <c r="C256" s="458"/>
      <c r="D256" s="458"/>
      <c r="E256" s="458"/>
      <c r="F256" s="458"/>
      <c r="G256" s="458"/>
      <c r="H256" s="458"/>
      <c r="I256" s="458"/>
      <c r="J256" s="458"/>
      <c r="K256" s="458"/>
      <c r="L256" s="458"/>
      <c r="M256" s="458"/>
      <c r="N256" s="458"/>
      <c r="O256" s="458"/>
      <c r="P256" s="458"/>
      <c r="Q256" s="458"/>
      <c r="R256" s="458"/>
      <c r="S256" s="458"/>
      <c r="T256" s="458"/>
      <c r="U256" s="458"/>
      <c r="V256" s="458"/>
      <c r="W256" s="458"/>
    </row>
    <row r="257" spans="1:23" ht="15.75" customHeight="1">
      <c r="A257" s="458"/>
      <c r="B257" s="458"/>
      <c r="C257" s="458"/>
      <c r="D257" s="458"/>
      <c r="E257" s="458"/>
      <c r="F257" s="458"/>
      <c r="G257" s="458"/>
      <c r="H257" s="458"/>
      <c r="I257" s="458"/>
      <c r="J257" s="458"/>
      <c r="K257" s="458"/>
      <c r="L257" s="458"/>
      <c r="M257" s="458"/>
      <c r="N257" s="458"/>
      <c r="O257" s="458"/>
      <c r="P257" s="458"/>
      <c r="Q257" s="458"/>
      <c r="R257" s="458"/>
      <c r="S257" s="458"/>
      <c r="T257" s="458"/>
      <c r="U257" s="458"/>
      <c r="V257" s="458"/>
      <c r="W257" s="458"/>
    </row>
    <row r="258" spans="1:23" ht="15.75" customHeight="1">
      <c r="A258" s="458"/>
      <c r="B258" s="458"/>
      <c r="C258" s="458"/>
      <c r="D258" s="458"/>
      <c r="E258" s="458"/>
      <c r="F258" s="458"/>
      <c r="G258" s="458"/>
      <c r="H258" s="458"/>
      <c r="I258" s="458"/>
      <c r="J258" s="458"/>
      <c r="K258" s="458"/>
      <c r="L258" s="458"/>
      <c r="M258" s="458"/>
      <c r="N258" s="458"/>
      <c r="O258" s="458"/>
      <c r="P258" s="458"/>
      <c r="Q258" s="458"/>
      <c r="R258" s="458"/>
      <c r="S258" s="458"/>
      <c r="T258" s="458"/>
      <c r="U258" s="458"/>
      <c r="V258" s="458"/>
      <c r="W258" s="458"/>
    </row>
    <row r="259" spans="1:23" ht="15.75" customHeight="1">
      <c r="A259" s="458"/>
      <c r="B259" s="458"/>
      <c r="C259" s="458"/>
      <c r="D259" s="458"/>
      <c r="E259" s="458"/>
      <c r="F259" s="458"/>
      <c r="G259" s="458"/>
      <c r="H259" s="458"/>
      <c r="I259" s="458"/>
      <c r="J259" s="458"/>
      <c r="K259" s="458"/>
      <c r="L259" s="458"/>
      <c r="M259" s="458"/>
      <c r="N259" s="458"/>
      <c r="O259" s="458"/>
      <c r="P259" s="458"/>
      <c r="Q259" s="458"/>
      <c r="R259" s="458"/>
      <c r="S259" s="458"/>
      <c r="T259" s="458"/>
      <c r="U259" s="458"/>
      <c r="V259" s="458"/>
      <c r="W259" s="458"/>
    </row>
    <row r="260" spans="1:23" ht="15.75" customHeight="1">
      <c r="A260" s="458"/>
      <c r="B260" s="458"/>
      <c r="C260" s="458"/>
      <c r="D260" s="458"/>
      <c r="E260" s="458"/>
      <c r="F260" s="458"/>
      <c r="G260" s="458"/>
      <c r="H260" s="458"/>
      <c r="I260" s="458"/>
      <c r="J260" s="458"/>
      <c r="K260" s="458"/>
      <c r="L260" s="458"/>
      <c r="M260" s="458"/>
      <c r="N260" s="458"/>
      <c r="O260" s="458"/>
      <c r="P260" s="458"/>
      <c r="Q260" s="458"/>
      <c r="R260" s="458"/>
      <c r="S260" s="458"/>
      <c r="T260" s="458"/>
      <c r="U260" s="458"/>
      <c r="V260" s="458"/>
      <c r="W260" s="458"/>
    </row>
    <row r="261" spans="1:23" ht="15.75" customHeight="1">
      <c r="A261" s="458"/>
      <c r="B261" s="458"/>
      <c r="C261" s="458"/>
      <c r="D261" s="458"/>
      <c r="E261" s="458"/>
      <c r="F261" s="458"/>
      <c r="G261" s="458"/>
      <c r="H261" s="458"/>
      <c r="I261" s="458"/>
      <c r="J261" s="458"/>
      <c r="K261" s="458"/>
      <c r="L261" s="458"/>
      <c r="M261" s="458"/>
      <c r="N261" s="458"/>
      <c r="O261" s="458"/>
      <c r="P261" s="458"/>
      <c r="Q261" s="458"/>
      <c r="R261" s="458"/>
      <c r="S261" s="458"/>
      <c r="T261" s="458"/>
      <c r="U261" s="458"/>
      <c r="V261" s="458"/>
      <c r="W261" s="458"/>
    </row>
    <row r="262" spans="1:23" ht="15.75" customHeight="1">
      <c r="A262" s="458"/>
      <c r="B262" s="458"/>
      <c r="C262" s="458"/>
      <c r="D262" s="458"/>
      <c r="E262" s="458"/>
      <c r="F262" s="458"/>
      <c r="G262" s="458"/>
      <c r="H262" s="458"/>
      <c r="I262" s="458"/>
      <c r="J262" s="458"/>
      <c r="K262" s="458"/>
      <c r="L262" s="458"/>
      <c r="M262" s="458"/>
      <c r="N262" s="458"/>
      <c r="O262" s="458"/>
      <c r="P262" s="458"/>
      <c r="Q262" s="458"/>
      <c r="R262" s="458"/>
      <c r="S262" s="458"/>
      <c r="T262" s="458"/>
      <c r="U262" s="458"/>
      <c r="V262" s="458"/>
      <c r="W262" s="458"/>
    </row>
    <row r="263" spans="1:23" ht="15.75" customHeight="1">
      <c r="A263" s="458"/>
      <c r="B263" s="458"/>
      <c r="C263" s="458"/>
      <c r="D263" s="458"/>
      <c r="E263" s="458"/>
      <c r="F263" s="458"/>
      <c r="G263" s="458"/>
      <c r="H263" s="458"/>
      <c r="I263" s="458"/>
      <c r="J263" s="458"/>
      <c r="K263" s="458"/>
      <c r="L263" s="458"/>
      <c r="M263" s="458"/>
      <c r="N263" s="458"/>
      <c r="O263" s="458"/>
      <c r="P263" s="458"/>
      <c r="Q263" s="458"/>
      <c r="R263" s="458"/>
      <c r="S263" s="458"/>
      <c r="T263" s="458"/>
      <c r="U263" s="458"/>
      <c r="V263" s="458"/>
      <c r="W263" s="458"/>
    </row>
    <row r="264" spans="1:23" ht="15.75" customHeight="1">
      <c r="A264" s="458"/>
      <c r="B264" s="458"/>
      <c r="C264" s="458"/>
      <c r="D264" s="458"/>
      <c r="E264" s="458"/>
      <c r="F264" s="458"/>
      <c r="G264" s="458"/>
      <c r="H264" s="458"/>
      <c r="I264" s="458"/>
      <c r="J264" s="458"/>
      <c r="K264" s="458"/>
      <c r="L264" s="458"/>
      <c r="M264" s="458"/>
      <c r="N264" s="458"/>
      <c r="O264" s="458"/>
      <c r="P264" s="458"/>
      <c r="Q264" s="458"/>
      <c r="R264" s="458"/>
      <c r="S264" s="458"/>
      <c r="T264" s="458"/>
      <c r="U264" s="458"/>
      <c r="V264" s="458"/>
      <c r="W264" s="458"/>
    </row>
    <row r="265" spans="1:23" ht="15.75" customHeight="1">
      <c r="A265" s="458"/>
      <c r="B265" s="458"/>
      <c r="C265" s="458"/>
      <c r="D265" s="458"/>
      <c r="E265" s="458"/>
      <c r="F265" s="458"/>
      <c r="G265" s="458"/>
      <c r="H265" s="458"/>
      <c r="I265" s="458"/>
      <c r="J265" s="458"/>
      <c r="K265" s="458"/>
      <c r="L265" s="458"/>
      <c r="M265" s="458"/>
      <c r="N265" s="458"/>
      <c r="O265" s="458"/>
      <c r="P265" s="458"/>
      <c r="Q265" s="458"/>
      <c r="R265" s="458"/>
      <c r="S265" s="458"/>
      <c r="T265" s="458"/>
      <c r="U265" s="458"/>
      <c r="V265" s="458"/>
      <c r="W265" s="458"/>
    </row>
    <row r="266" spans="1:23" ht="15.75" customHeight="1">
      <c r="A266" s="458"/>
      <c r="B266" s="458"/>
      <c r="C266" s="458"/>
      <c r="D266" s="458"/>
      <c r="E266" s="458"/>
      <c r="F266" s="458"/>
      <c r="G266" s="458"/>
      <c r="H266" s="458"/>
      <c r="I266" s="458"/>
      <c r="J266" s="458"/>
      <c r="K266" s="458"/>
      <c r="L266" s="458"/>
      <c r="M266" s="458"/>
      <c r="N266" s="458"/>
      <c r="O266" s="458"/>
      <c r="P266" s="458"/>
      <c r="Q266" s="458"/>
      <c r="R266" s="458"/>
      <c r="S266" s="458"/>
      <c r="T266" s="458"/>
      <c r="U266" s="458"/>
      <c r="V266" s="458"/>
      <c r="W266" s="458"/>
    </row>
    <row r="267" spans="1:23" ht="15.75" customHeight="1">
      <c r="A267" s="458"/>
      <c r="B267" s="458"/>
      <c r="C267" s="458"/>
      <c r="D267" s="458"/>
      <c r="E267" s="458"/>
      <c r="F267" s="458"/>
      <c r="G267" s="458"/>
      <c r="H267" s="458"/>
      <c r="I267" s="458"/>
      <c r="J267" s="458"/>
      <c r="K267" s="458"/>
      <c r="L267" s="458"/>
      <c r="M267" s="458"/>
      <c r="N267" s="458"/>
      <c r="O267" s="458"/>
      <c r="P267" s="458"/>
      <c r="Q267" s="458"/>
      <c r="R267" s="458"/>
      <c r="S267" s="458"/>
      <c r="T267" s="458"/>
      <c r="U267" s="458"/>
      <c r="V267" s="458"/>
      <c r="W267" s="458"/>
    </row>
    <row r="268" spans="1:23" ht="15.75" customHeight="1">
      <c r="A268" s="458"/>
      <c r="B268" s="458"/>
      <c r="C268" s="458"/>
      <c r="D268" s="458"/>
      <c r="E268" s="458"/>
      <c r="F268" s="458"/>
      <c r="G268" s="458"/>
      <c r="H268" s="458"/>
      <c r="I268" s="458"/>
      <c r="J268" s="458"/>
      <c r="K268" s="458"/>
      <c r="L268" s="458"/>
      <c r="M268" s="458"/>
      <c r="N268" s="458"/>
      <c r="O268" s="458"/>
      <c r="P268" s="458"/>
      <c r="Q268" s="458"/>
      <c r="R268" s="458"/>
      <c r="S268" s="458"/>
      <c r="T268" s="458"/>
      <c r="U268" s="458"/>
      <c r="V268" s="458"/>
      <c r="W268" s="458"/>
    </row>
    <row r="269" spans="1:23" ht="15.75" customHeight="1">
      <c r="A269" s="458"/>
      <c r="B269" s="458"/>
      <c r="C269" s="458"/>
      <c r="D269" s="458"/>
      <c r="E269" s="458"/>
      <c r="F269" s="458"/>
      <c r="G269" s="458"/>
      <c r="H269" s="458"/>
      <c r="I269" s="458"/>
      <c r="J269" s="458"/>
      <c r="K269" s="458"/>
      <c r="L269" s="458"/>
      <c r="M269" s="458"/>
      <c r="N269" s="458"/>
      <c r="O269" s="458"/>
      <c r="P269" s="458"/>
      <c r="Q269" s="458"/>
      <c r="R269" s="458"/>
      <c r="S269" s="458"/>
      <c r="T269" s="458"/>
      <c r="U269" s="458"/>
      <c r="V269" s="458"/>
      <c r="W269" s="458"/>
    </row>
    <row r="270" spans="1:23" ht="15.75" customHeight="1">
      <c r="A270" s="458"/>
      <c r="B270" s="458"/>
      <c r="C270" s="458"/>
      <c r="D270" s="458"/>
      <c r="E270" s="458"/>
      <c r="F270" s="458"/>
      <c r="G270" s="458"/>
      <c r="H270" s="458"/>
      <c r="I270" s="458"/>
      <c r="J270" s="458"/>
      <c r="K270" s="458"/>
      <c r="L270" s="458"/>
      <c r="M270" s="458"/>
      <c r="N270" s="458"/>
      <c r="O270" s="458"/>
      <c r="P270" s="458"/>
      <c r="Q270" s="458"/>
      <c r="R270" s="458"/>
      <c r="S270" s="458"/>
      <c r="T270" s="458"/>
      <c r="U270" s="458"/>
      <c r="V270" s="458"/>
      <c r="W270" s="458"/>
    </row>
    <row r="271" spans="1:23" ht="15.75" customHeight="1">
      <c r="A271" s="458"/>
      <c r="B271" s="458"/>
      <c r="C271" s="458"/>
      <c r="D271" s="458"/>
      <c r="E271" s="458"/>
      <c r="F271" s="458"/>
      <c r="G271" s="458"/>
      <c r="H271" s="458"/>
      <c r="I271" s="458"/>
      <c r="J271" s="458"/>
      <c r="K271" s="458"/>
      <c r="L271" s="458"/>
      <c r="M271" s="458"/>
      <c r="N271" s="458"/>
      <c r="O271" s="458"/>
      <c r="P271" s="458"/>
      <c r="Q271" s="458"/>
      <c r="R271" s="458"/>
      <c r="S271" s="458"/>
      <c r="T271" s="458"/>
      <c r="U271" s="458"/>
      <c r="V271" s="458"/>
      <c r="W271" s="458"/>
    </row>
    <row r="272" spans="1:23" ht="15.75" customHeight="1">
      <c r="A272" s="458"/>
      <c r="B272" s="458"/>
      <c r="C272" s="458"/>
      <c r="D272" s="458"/>
      <c r="E272" s="458"/>
      <c r="F272" s="458"/>
      <c r="G272" s="458"/>
      <c r="H272" s="458"/>
      <c r="I272" s="458"/>
      <c r="J272" s="458"/>
      <c r="K272" s="458"/>
      <c r="L272" s="458"/>
      <c r="M272" s="458"/>
      <c r="N272" s="458"/>
      <c r="O272" s="458"/>
      <c r="P272" s="458"/>
      <c r="Q272" s="458"/>
      <c r="R272" s="458"/>
      <c r="S272" s="458"/>
      <c r="T272" s="458"/>
      <c r="U272" s="458"/>
      <c r="V272" s="458"/>
      <c r="W272" s="458"/>
    </row>
    <row r="273" spans="1:23" ht="15.75" customHeight="1">
      <c r="A273" s="458"/>
      <c r="B273" s="458"/>
      <c r="C273" s="458"/>
      <c r="D273" s="458"/>
      <c r="E273" s="458"/>
      <c r="F273" s="458"/>
      <c r="G273" s="458"/>
      <c r="H273" s="458"/>
      <c r="I273" s="458"/>
      <c r="J273" s="458"/>
      <c r="K273" s="458"/>
      <c r="L273" s="458"/>
      <c r="M273" s="458"/>
      <c r="N273" s="458"/>
      <c r="O273" s="458"/>
      <c r="P273" s="458"/>
      <c r="Q273" s="458"/>
      <c r="R273" s="458"/>
      <c r="S273" s="458"/>
      <c r="T273" s="458"/>
      <c r="U273" s="458"/>
      <c r="V273" s="458"/>
      <c r="W273" s="458"/>
    </row>
    <row r="274" spans="1:23" ht="15.75" customHeight="1">
      <c r="A274" s="458"/>
      <c r="B274" s="458"/>
      <c r="C274" s="458"/>
      <c r="D274" s="458"/>
      <c r="E274" s="458"/>
      <c r="F274" s="458"/>
      <c r="G274" s="458"/>
      <c r="H274" s="458"/>
      <c r="I274" s="458"/>
      <c r="J274" s="458"/>
      <c r="K274" s="458"/>
      <c r="L274" s="458"/>
      <c r="M274" s="458"/>
      <c r="N274" s="458"/>
      <c r="O274" s="458"/>
      <c r="P274" s="458"/>
      <c r="Q274" s="458"/>
      <c r="R274" s="458"/>
      <c r="S274" s="458"/>
      <c r="T274" s="458"/>
      <c r="U274" s="458"/>
      <c r="V274" s="458"/>
      <c r="W274" s="458"/>
    </row>
    <row r="275" spans="1:23" ht="15.75" customHeight="1">
      <c r="A275" s="458"/>
      <c r="B275" s="458"/>
      <c r="C275" s="458"/>
      <c r="D275" s="458"/>
      <c r="E275" s="458"/>
      <c r="F275" s="458"/>
      <c r="G275" s="458"/>
      <c r="H275" s="458"/>
      <c r="I275" s="458"/>
      <c r="J275" s="458"/>
      <c r="K275" s="458"/>
      <c r="L275" s="458"/>
      <c r="M275" s="458"/>
      <c r="N275" s="458"/>
      <c r="O275" s="458"/>
      <c r="P275" s="458"/>
      <c r="Q275" s="458"/>
      <c r="R275" s="458"/>
      <c r="S275" s="458"/>
      <c r="T275" s="458"/>
      <c r="U275" s="458"/>
      <c r="V275" s="458"/>
      <c r="W275" s="458"/>
    </row>
    <row r="276" spans="1:23" ht="15.75" customHeight="1">
      <c r="A276" s="458"/>
      <c r="B276" s="458"/>
      <c r="C276" s="458"/>
      <c r="D276" s="458"/>
      <c r="E276" s="458"/>
      <c r="F276" s="458"/>
      <c r="G276" s="458"/>
      <c r="H276" s="458"/>
      <c r="I276" s="458"/>
      <c r="J276" s="458"/>
      <c r="K276" s="458"/>
      <c r="L276" s="458"/>
      <c r="M276" s="458"/>
      <c r="N276" s="458"/>
      <c r="O276" s="458"/>
      <c r="P276" s="458"/>
      <c r="Q276" s="458"/>
      <c r="R276" s="458"/>
      <c r="S276" s="458"/>
      <c r="T276" s="458"/>
      <c r="U276" s="458"/>
      <c r="V276" s="458"/>
      <c r="W276" s="458"/>
    </row>
    <row r="277" spans="1:23" ht="15.75" customHeight="1">
      <c r="A277" s="458"/>
      <c r="B277" s="458"/>
      <c r="C277" s="458"/>
      <c r="D277" s="458"/>
      <c r="E277" s="458"/>
      <c r="F277" s="458"/>
      <c r="G277" s="458"/>
      <c r="H277" s="458"/>
      <c r="I277" s="458"/>
      <c r="J277" s="458"/>
      <c r="K277" s="458"/>
      <c r="L277" s="458"/>
      <c r="M277" s="458"/>
      <c r="N277" s="458"/>
      <c r="O277" s="458"/>
      <c r="P277" s="458"/>
      <c r="Q277" s="458"/>
      <c r="R277" s="458"/>
      <c r="S277" s="458"/>
      <c r="T277" s="458"/>
      <c r="U277" s="458"/>
      <c r="V277" s="458"/>
      <c r="W277" s="458"/>
    </row>
    <row r="278" spans="1:23" ht="15.75" customHeight="1">
      <c r="A278" s="458"/>
      <c r="B278" s="458"/>
      <c r="C278" s="458"/>
      <c r="D278" s="458"/>
      <c r="E278" s="458"/>
      <c r="F278" s="458"/>
      <c r="G278" s="458"/>
      <c r="H278" s="458"/>
      <c r="I278" s="458"/>
      <c r="J278" s="458"/>
      <c r="K278" s="458"/>
      <c r="L278" s="458"/>
      <c r="M278" s="458"/>
      <c r="N278" s="458"/>
      <c r="O278" s="458"/>
      <c r="P278" s="458"/>
      <c r="Q278" s="458"/>
      <c r="R278" s="458"/>
      <c r="S278" s="458"/>
      <c r="T278" s="458"/>
      <c r="U278" s="458"/>
      <c r="V278" s="458"/>
      <c r="W278" s="458"/>
    </row>
    <row r="279" spans="1:23" ht="15.75" customHeight="1">
      <c r="A279" s="458"/>
      <c r="B279" s="458"/>
      <c r="C279" s="458"/>
      <c r="D279" s="458"/>
      <c r="E279" s="458"/>
      <c r="F279" s="458"/>
      <c r="G279" s="458"/>
      <c r="H279" s="458"/>
      <c r="I279" s="458"/>
      <c r="J279" s="458"/>
      <c r="K279" s="458"/>
      <c r="L279" s="458"/>
      <c r="M279" s="458"/>
      <c r="N279" s="458"/>
      <c r="O279" s="458"/>
      <c r="P279" s="458"/>
      <c r="Q279" s="458"/>
      <c r="R279" s="458"/>
      <c r="S279" s="458"/>
      <c r="T279" s="458"/>
      <c r="U279" s="458"/>
      <c r="V279" s="458"/>
      <c r="W279" s="458"/>
    </row>
    <row r="280" spans="1:23" ht="15.75" customHeight="1">
      <c r="A280" s="458"/>
      <c r="B280" s="458"/>
      <c r="C280" s="458"/>
      <c r="D280" s="458"/>
      <c r="E280" s="458"/>
      <c r="F280" s="458"/>
      <c r="G280" s="458"/>
      <c r="H280" s="458"/>
      <c r="I280" s="458"/>
      <c r="J280" s="458"/>
      <c r="K280" s="458"/>
      <c r="L280" s="458"/>
      <c r="M280" s="458"/>
      <c r="N280" s="458"/>
      <c r="O280" s="458"/>
      <c r="P280" s="458"/>
      <c r="Q280" s="458"/>
      <c r="R280" s="458"/>
      <c r="S280" s="458"/>
      <c r="T280" s="458"/>
      <c r="U280" s="458"/>
      <c r="V280" s="458"/>
      <c r="W280" s="458"/>
    </row>
    <row r="281" spans="1:23" ht="15.75" customHeight="1">
      <c r="A281" s="458"/>
      <c r="B281" s="458"/>
      <c r="C281" s="458"/>
      <c r="D281" s="458"/>
      <c r="E281" s="458"/>
      <c r="F281" s="458"/>
      <c r="G281" s="458"/>
      <c r="H281" s="458"/>
      <c r="I281" s="458"/>
      <c r="J281" s="458"/>
      <c r="K281" s="458"/>
      <c r="L281" s="458"/>
      <c r="M281" s="458"/>
      <c r="N281" s="458"/>
      <c r="O281" s="458"/>
      <c r="P281" s="458"/>
      <c r="Q281" s="458"/>
      <c r="R281" s="458"/>
      <c r="S281" s="458"/>
      <c r="T281" s="458"/>
      <c r="U281" s="458"/>
      <c r="V281" s="458"/>
      <c r="W281" s="458"/>
    </row>
    <row r="282" spans="1:23" ht="15.75" customHeight="1">
      <c r="A282" s="458"/>
      <c r="B282" s="458"/>
      <c r="C282" s="458"/>
      <c r="D282" s="458"/>
      <c r="E282" s="458"/>
      <c r="F282" s="458"/>
      <c r="G282" s="458"/>
      <c r="H282" s="458"/>
      <c r="I282" s="458"/>
      <c r="J282" s="458"/>
      <c r="K282" s="458"/>
      <c r="L282" s="458"/>
      <c r="M282" s="458"/>
      <c r="N282" s="458"/>
      <c r="O282" s="458"/>
      <c r="P282" s="458"/>
      <c r="Q282" s="458"/>
      <c r="R282" s="458"/>
      <c r="S282" s="458"/>
      <c r="T282" s="458"/>
      <c r="U282" s="458"/>
      <c r="V282" s="458"/>
      <c r="W282" s="458"/>
    </row>
    <row r="283" spans="1:23" ht="15.75" customHeight="1">
      <c r="A283" s="458"/>
      <c r="B283" s="458"/>
      <c r="C283" s="458"/>
      <c r="D283" s="458"/>
      <c r="E283" s="458"/>
      <c r="F283" s="458"/>
      <c r="G283" s="458"/>
      <c r="H283" s="458"/>
      <c r="I283" s="458"/>
      <c r="J283" s="458"/>
      <c r="K283" s="458"/>
      <c r="L283" s="458"/>
      <c r="M283" s="458"/>
      <c r="N283" s="458"/>
      <c r="O283" s="458"/>
      <c r="P283" s="458"/>
      <c r="Q283" s="458"/>
      <c r="R283" s="458"/>
      <c r="S283" s="458"/>
      <c r="T283" s="458"/>
      <c r="U283" s="458"/>
      <c r="V283" s="458"/>
      <c r="W283" s="458"/>
    </row>
    <row r="284" spans="1:23" ht="15.75" customHeight="1">
      <c r="A284" s="458"/>
      <c r="B284" s="458"/>
      <c r="C284" s="458"/>
      <c r="D284" s="458"/>
      <c r="E284" s="458"/>
      <c r="F284" s="458"/>
      <c r="G284" s="458"/>
      <c r="H284" s="458"/>
      <c r="I284" s="458"/>
      <c r="J284" s="458"/>
      <c r="K284" s="458"/>
      <c r="L284" s="458"/>
      <c r="M284" s="458"/>
      <c r="N284" s="458"/>
      <c r="O284" s="458"/>
      <c r="P284" s="458"/>
      <c r="Q284" s="458"/>
      <c r="R284" s="458"/>
      <c r="S284" s="458"/>
      <c r="T284" s="458"/>
      <c r="U284" s="458"/>
      <c r="V284" s="458"/>
      <c r="W284" s="458"/>
    </row>
    <row r="285" spans="1:23" ht="15.75" customHeight="1">
      <c r="A285" s="458"/>
      <c r="B285" s="458"/>
      <c r="C285" s="458"/>
      <c r="D285" s="458"/>
      <c r="E285" s="458"/>
      <c r="F285" s="458"/>
      <c r="G285" s="458"/>
      <c r="H285" s="458"/>
      <c r="I285" s="458"/>
      <c r="J285" s="458"/>
      <c r="K285" s="458"/>
      <c r="L285" s="458"/>
      <c r="M285" s="458"/>
      <c r="N285" s="458"/>
      <c r="O285" s="458"/>
      <c r="P285" s="458"/>
      <c r="Q285" s="458"/>
      <c r="R285" s="458"/>
      <c r="S285" s="458"/>
      <c r="T285" s="458"/>
      <c r="U285" s="458"/>
      <c r="V285" s="458"/>
      <c r="W285" s="458"/>
    </row>
    <row r="286" spans="1:23" ht="15.75" customHeight="1">
      <c r="A286" s="458"/>
      <c r="B286" s="458"/>
      <c r="C286" s="458"/>
      <c r="D286" s="458"/>
      <c r="E286" s="458"/>
      <c r="F286" s="458"/>
      <c r="G286" s="458"/>
      <c r="H286" s="458"/>
      <c r="I286" s="458"/>
      <c r="J286" s="458"/>
      <c r="K286" s="458"/>
      <c r="L286" s="458"/>
      <c r="M286" s="458"/>
      <c r="N286" s="458"/>
      <c r="O286" s="458"/>
      <c r="P286" s="458"/>
      <c r="Q286" s="458"/>
      <c r="R286" s="458"/>
      <c r="S286" s="458"/>
      <c r="T286" s="458"/>
      <c r="U286" s="458"/>
      <c r="V286" s="458"/>
      <c r="W286" s="458"/>
    </row>
    <row r="287" spans="1:23" ht="15.75" customHeight="1">
      <c r="A287" s="458"/>
      <c r="B287" s="458"/>
      <c r="C287" s="458"/>
      <c r="D287" s="458"/>
      <c r="E287" s="458"/>
      <c r="F287" s="458"/>
      <c r="G287" s="458"/>
      <c r="H287" s="458"/>
      <c r="I287" s="458"/>
      <c r="J287" s="458"/>
      <c r="K287" s="458"/>
      <c r="L287" s="458"/>
      <c r="M287" s="458"/>
      <c r="N287" s="458"/>
      <c r="O287" s="458"/>
      <c r="P287" s="458"/>
      <c r="Q287" s="458"/>
      <c r="R287" s="458"/>
      <c r="S287" s="458"/>
      <c r="T287" s="458"/>
      <c r="U287" s="458"/>
      <c r="V287" s="458"/>
      <c r="W287" s="458"/>
    </row>
    <row r="288" spans="1:23" ht="15.75" customHeight="1">
      <c r="A288" s="458"/>
      <c r="B288" s="458"/>
      <c r="C288" s="458"/>
      <c r="D288" s="458"/>
      <c r="E288" s="458"/>
      <c r="F288" s="458"/>
      <c r="G288" s="458"/>
      <c r="H288" s="458"/>
      <c r="I288" s="458"/>
      <c r="J288" s="458"/>
      <c r="K288" s="458"/>
      <c r="L288" s="458"/>
      <c r="M288" s="458"/>
      <c r="N288" s="458"/>
      <c r="O288" s="458"/>
      <c r="P288" s="458"/>
      <c r="Q288" s="458"/>
      <c r="R288" s="458"/>
      <c r="S288" s="458"/>
      <c r="T288" s="458"/>
      <c r="U288" s="458"/>
      <c r="V288" s="458"/>
      <c r="W288" s="458"/>
    </row>
    <row r="289" spans="1:23" ht="15.75" customHeight="1">
      <c r="A289" s="458"/>
      <c r="B289" s="458"/>
      <c r="C289" s="458"/>
      <c r="D289" s="458"/>
      <c r="E289" s="458"/>
      <c r="F289" s="458"/>
      <c r="G289" s="458"/>
      <c r="H289" s="458"/>
      <c r="I289" s="458"/>
      <c r="J289" s="458"/>
      <c r="K289" s="458"/>
      <c r="L289" s="458"/>
      <c r="M289" s="458"/>
      <c r="N289" s="458"/>
      <c r="O289" s="458"/>
      <c r="P289" s="458"/>
      <c r="Q289" s="458"/>
      <c r="R289" s="458"/>
      <c r="S289" s="458"/>
      <c r="T289" s="458"/>
      <c r="U289" s="458"/>
      <c r="V289" s="458"/>
      <c r="W289" s="458"/>
    </row>
    <row r="290" spans="1:23" ht="15.75" customHeight="1">
      <c r="A290" s="458"/>
      <c r="B290" s="458"/>
      <c r="C290" s="458"/>
      <c r="D290" s="458"/>
      <c r="E290" s="458"/>
      <c r="F290" s="458"/>
      <c r="G290" s="458"/>
      <c r="H290" s="458"/>
      <c r="I290" s="458"/>
      <c r="J290" s="458"/>
      <c r="K290" s="458"/>
      <c r="L290" s="458"/>
      <c r="M290" s="458"/>
      <c r="N290" s="458"/>
      <c r="O290" s="458"/>
      <c r="P290" s="458"/>
      <c r="Q290" s="458"/>
      <c r="R290" s="458"/>
      <c r="S290" s="458"/>
      <c r="T290" s="458"/>
      <c r="U290" s="458"/>
      <c r="V290" s="458"/>
      <c r="W290" s="458"/>
    </row>
    <row r="291" spans="1:23" ht="15.75" customHeight="1">
      <c r="A291" s="458"/>
      <c r="B291" s="458"/>
      <c r="C291" s="458"/>
      <c r="D291" s="458"/>
      <c r="E291" s="458"/>
      <c r="F291" s="458"/>
      <c r="G291" s="458"/>
      <c r="H291" s="458"/>
      <c r="I291" s="458"/>
      <c r="J291" s="458"/>
      <c r="K291" s="458"/>
      <c r="L291" s="458"/>
      <c r="M291" s="458"/>
      <c r="N291" s="458"/>
      <c r="O291" s="458"/>
      <c r="P291" s="458"/>
      <c r="Q291" s="458"/>
      <c r="R291" s="458"/>
      <c r="S291" s="458"/>
      <c r="T291" s="458"/>
      <c r="U291" s="458"/>
      <c r="V291" s="458"/>
      <c r="W291" s="458"/>
    </row>
    <row r="292" spans="1:23" ht="15.75" customHeight="1">
      <c r="A292" s="458"/>
      <c r="B292" s="458"/>
      <c r="C292" s="458"/>
      <c r="D292" s="458"/>
      <c r="E292" s="458"/>
      <c r="F292" s="458"/>
      <c r="G292" s="458"/>
      <c r="H292" s="458"/>
      <c r="I292" s="458"/>
      <c r="J292" s="458"/>
      <c r="K292" s="458"/>
      <c r="L292" s="458"/>
      <c r="M292" s="458"/>
      <c r="N292" s="458"/>
      <c r="O292" s="458"/>
      <c r="P292" s="458"/>
      <c r="Q292" s="458"/>
      <c r="R292" s="458"/>
      <c r="S292" s="458"/>
      <c r="T292" s="458"/>
      <c r="U292" s="458"/>
      <c r="V292" s="458"/>
      <c r="W292" s="458"/>
    </row>
    <row r="293" spans="1:23" ht="15.75" customHeight="1">
      <c r="A293" s="458"/>
      <c r="B293" s="458"/>
      <c r="C293" s="458"/>
      <c r="D293" s="458"/>
      <c r="E293" s="458"/>
      <c r="F293" s="458"/>
      <c r="G293" s="458"/>
      <c r="H293" s="458"/>
      <c r="I293" s="458"/>
      <c r="J293" s="458"/>
      <c r="K293" s="458"/>
      <c r="L293" s="458"/>
      <c r="M293" s="458"/>
      <c r="N293" s="458"/>
      <c r="O293" s="458"/>
      <c r="P293" s="458"/>
      <c r="Q293" s="458"/>
      <c r="R293" s="458"/>
      <c r="S293" s="458"/>
      <c r="T293" s="458"/>
      <c r="U293" s="458"/>
      <c r="V293" s="458"/>
      <c r="W293" s="458"/>
    </row>
    <row r="294" spans="1:23" ht="15.75" customHeight="1">
      <c r="A294" s="458"/>
      <c r="B294" s="458"/>
      <c r="C294" s="458"/>
      <c r="D294" s="458"/>
      <c r="E294" s="458"/>
      <c r="F294" s="458"/>
      <c r="G294" s="458"/>
      <c r="H294" s="458"/>
      <c r="I294" s="458"/>
      <c r="J294" s="458"/>
      <c r="K294" s="458"/>
      <c r="L294" s="458"/>
      <c r="M294" s="458"/>
      <c r="N294" s="458"/>
      <c r="O294" s="458"/>
      <c r="P294" s="458"/>
      <c r="Q294" s="458"/>
      <c r="R294" s="458"/>
      <c r="S294" s="458"/>
      <c r="T294" s="458"/>
      <c r="U294" s="458"/>
      <c r="V294" s="458"/>
      <c r="W294" s="458"/>
    </row>
    <row r="295" spans="1:23" ht="15.75" customHeight="1">
      <c r="A295" s="458"/>
      <c r="B295" s="458"/>
      <c r="C295" s="458"/>
      <c r="D295" s="458"/>
      <c r="E295" s="458"/>
      <c r="F295" s="458"/>
      <c r="G295" s="458"/>
      <c r="H295" s="458"/>
      <c r="I295" s="458"/>
      <c r="J295" s="458"/>
      <c r="K295" s="458"/>
      <c r="L295" s="458"/>
      <c r="M295" s="458"/>
      <c r="N295" s="458"/>
      <c r="O295" s="458"/>
      <c r="P295" s="458"/>
      <c r="Q295" s="458"/>
      <c r="R295" s="458"/>
      <c r="S295" s="458"/>
      <c r="T295" s="458"/>
      <c r="U295" s="458"/>
      <c r="V295" s="458"/>
      <c r="W295" s="458"/>
    </row>
    <row r="296" spans="1:23" ht="15.75" customHeight="1">
      <c r="A296" s="458"/>
      <c r="B296" s="458"/>
      <c r="C296" s="458"/>
      <c r="D296" s="458"/>
      <c r="E296" s="458"/>
      <c r="F296" s="458"/>
      <c r="G296" s="458"/>
      <c r="H296" s="458"/>
      <c r="I296" s="458"/>
      <c r="J296" s="458"/>
      <c r="K296" s="458"/>
      <c r="L296" s="458"/>
      <c r="M296" s="458"/>
      <c r="N296" s="458"/>
      <c r="O296" s="458"/>
      <c r="P296" s="458"/>
      <c r="Q296" s="458"/>
      <c r="R296" s="458"/>
      <c r="S296" s="458"/>
      <c r="T296" s="458"/>
      <c r="U296" s="458"/>
      <c r="V296" s="458"/>
      <c r="W296" s="458"/>
    </row>
    <row r="297" spans="1:23" ht="15.75" customHeight="1">
      <c r="A297" s="458"/>
      <c r="B297" s="458"/>
      <c r="C297" s="458"/>
      <c r="D297" s="458"/>
      <c r="E297" s="458"/>
      <c r="F297" s="458"/>
      <c r="G297" s="458"/>
      <c r="H297" s="458"/>
      <c r="I297" s="458"/>
      <c r="J297" s="458"/>
      <c r="K297" s="458"/>
      <c r="L297" s="458"/>
      <c r="M297" s="458"/>
      <c r="N297" s="458"/>
      <c r="O297" s="458"/>
      <c r="P297" s="458"/>
      <c r="Q297" s="458"/>
      <c r="R297" s="458"/>
      <c r="S297" s="458"/>
      <c r="T297" s="458"/>
      <c r="U297" s="458"/>
      <c r="V297" s="458"/>
      <c r="W297" s="458"/>
    </row>
    <row r="298" spans="1:23" ht="15.75" customHeight="1">
      <c r="A298" s="458"/>
      <c r="B298" s="458"/>
      <c r="C298" s="458"/>
      <c r="D298" s="458"/>
      <c r="E298" s="458"/>
      <c r="F298" s="458"/>
      <c r="G298" s="458"/>
      <c r="H298" s="458"/>
      <c r="I298" s="458"/>
      <c r="J298" s="458"/>
      <c r="K298" s="458"/>
      <c r="L298" s="458"/>
      <c r="M298" s="458"/>
      <c r="N298" s="458"/>
      <c r="O298" s="458"/>
      <c r="P298" s="458"/>
      <c r="Q298" s="458"/>
      <c r="R298" s="458"/>
      <c r="S298" s="458"/>
      <c r="T298" s="458"/>
      <c r="U298" s="458"/>
      <c r="V298" s="458"/>
      <c r="W298" s="458"/>
    </row>
    <row r="299" spans="1:23" ht="15.75" customHeight="1">
      <c r="A299" s="458"/>
      <c r="B299" s="458"/>
      <c r="C299" s="458"/>
      <c r="D299" s="458"/>
      <c r="E299" s="458"/>
      <c r="F299" s="458"/>
      <c r="G299" s="458"/>
      <c r="H299" s="458"/>
      <c r="I299" s="458"/>
      <c r="J299" s="458"/>
      <c r="K299" s="458"/>
      <c r="L299" s="458"/>
      <c r="M299" s="458"/>
      <c r="N299" s="458"/>
      <c r="O299" s="458"/>
      <c r="P299" s="458"/>
      <c r="Q299" s="458"/>
      <c r="R299" s="458"/>
      <c r="S299" s="458"/>
      <c r="T299" s="458"/>
      <c r="U299" s="458"/>
      <c r="V299" s="458"/>
      <c r="W299" s="458"/>
    </row>
    <row r="300" spans="1:23" ht="15.75" customHeight="1">
      <c r="A300" s="458"/>
      <c r="B300" s="458"/>
      <c r="C300" s="458"/>
      <c r="D300" s="458"/>
      <c r="E300" s="458"/>
      <c r="F300" s="458"/>
      <c r="G300" s="458"/>
      <c r="H300" s="458"/>
      <c r="I300" s="458"/>
      <c r="J300" s="458"/>
      <c r="K300" s="458"/>
      <c r="L300" s="458"/>
      <c r="M300" s="458"/>
      <c r="N300" s="458"/>
      <c r="O300" s="458"/>
      <c r="P300" s="458"/>
      <c r="Q300" s="458"/>
      <c r="R300" s="458"/>
      <c r="S300" s="458"/>
      <c r="T300" s="458"/>
      <c r="U300" s="458"/>
      <c r="V300" s="458"/>
      <c r="W300" s="458"/>
    </row>
    <row r="301" spans="1:23" ht="15.75" customHeight="1">
      <c r="A301" s="458"/>
      <c r="B301" s="458"/>
      <c r="C301" s="458"/>
      <c r="D301" s="458"/>
      <c r="E301" s="458"/>
      <c r="F301" s="458"/>
      <c r="G301" s="458"/>
      <c r="H301" s="458"/>
      <c r="I301" s="458"/>
      <c r="J301" s="458"/>
      <c r="K301" s="458"/>
      <c r="L301" s="458"/>
      <c r="M301" s="458"/>
      <c r="N301" s="458"/>
      <c r="O301" s="458"/>
      <c r="P301" s="458"/>
      <c r="Q301" s="458"/>
      <c r="R301" s="458"/>
      <c r="S301" s="458"/>
      <c r="T301" s="458"/>
      <c r="U301" s="458"/>
      <c r="V301" s="458"/>
      <c r="W301" s="458"/>
    </row>
    <row r="302" spans="1:23" ht="15.75" customHeight="1">
      <c r="A302" s="458"/>
      <c r="B302" s="458"/>
      <c r="C302" s="458"/>
      <c r="D302" s="458"/>
      <c r="E302" s="458"/>
      <c r="F302" s="458"/>
      <c r="G302" s="458"/>
      <c r="H302" s="458"/>
      <c r="I302" s="458"/>
      <c r="J302" s="458"/>
      <c r="K302" s="458"/>
      <c r="L302" s="458"/>
      <c r="M302" s="458"/>
      <c r="N302" s="458"/>
      <c r="O302" s="458"/>
      <c r="P302" s="458"/>
      <c r="Q302" s="458"/>
      <c r="R302" s="458"/>
      <c r="S302" s="458"/>
      <c r="T302" s="458"/>
      <c r="U302" s="458"/>
      <c r="V302" s="458"/>
      <c r="W302" s="458"/>
    </row>
    <row r="303" spans="1:23" ht="15.75" customHeight="1">
      <c r="A303" s="458"/>
      <c r="B303" s="458"/>
      <c r="C303" s="458"/>
      <c r="D303" s="458"/>
      <c r="E303" s="458"/>
      <c r="F303" s="458"/>
      <c r="G303" s="458"/>
      <c r="H303" s="458"/>
      <c r="I303" s="458"/>
      <c r="J303" s="458"/>
      <c r="K303" s="458"/>
      <c r="L303" s="458"/>
      <c r="M303" s="458"/>
      <c r="N303" s="458"/>
      <c r="O303" s="458"/>
      <c r="P303" s="458"/>
      <c r="Q303" s="458"/>
      <c r="R303" s="458"/>
      <c r="S303" s="458"/>
      <c r="T303" s="458"/>
      <c r="U303" s="458"/>
      <c r="V303" s="458"/>
      <c r="W303" s="458"/>
    </row>
    <row r="304" spans="1:23" ht="15.75" customHeight="1">
      <c r="A304" s="458"/>
      <c r="B304" s="458"/>
      <c r="C304" s="458"/>
      <c r="D304" s="458"/>
      <c r="E304" s="458"/>
      <c r="F304" s="458"/>
      <c r="G304" s="458"/>
      <c r="H304" s="458"/>
      <c r="I304" s="458"/>
      <c r="J304" s="458"/>
      <c r="K304" s="458"/>
      <c r="L304" s="458"/>
      <c r="M304" s="458"/>
      <c r="N304" s="458"/>
      <c r="O304" s="458"/>
      <c r="P304" s="458"/>
      <c r="Q304" s="458"/>
      <c r="R304" s="458"/>
      <c r="S304" s="458"/>
      <c r="T304" s="458"/>
      <c r="U304" s="458"/>
      <c r="V304" s="458"/>
      <c r="W304" s="458"/>
    </row>
    <row r="305" spans="1:23" ht="15.75" customHeight="1">
      <c r="A305" s="458"/>
      <c r="B305" s="458"/>
      <c r="C305" s="458"/>
      <c r="D305" s="458"/>
      <c r="E305" s="458"/>
      <c r="F305" s="458"/>
      <c r="G305" s="458"/>
      <c r="H305" s="458"/>
      <c r="I305" s="458"/>
      <c r="J305" s="458"/>
      <c r="K305" s="458"/>
      <c r="L305" s="458"/>
      <c r="M305" s="458"/>
      <c r="N305" s="458"/>
      <c r="O305" s="458"/>
      <c r="P305" s="458"/>
      <c r="Q305" s="458"/>
      <c r="R305" s="458"/>
      <c r="S305" s="458"/>
      <c r="T305" s="458"/>
      <c r="U305" s="458"/>
      <c r="V305" s="458"/>
      <c r="W305" s="458"/>
    </row>
    <row r="306" spans="1:23" ht="15.75" customHeight="1">
      <c r="A306" s="458"/>
      <c r="B306" s="458"/>
      <c r="C306" s="458"/>
      <c r="D306" s="458"/>
      <c r="E306" s="458"/>
      <c r="F306" s="458"/>
      <c r="G306" s="458"/>
      <c r="H306" s="458"/>
      <c r="I306" s="458"/>
      <c r="J306" s="458"/>
      <c r="K306" s="458"/>
      <c r="L306" s="458"/>
      <c r="M306" s="458"/>
      <c r="N306" s="458"/>
      <c r="O306" s="458"/>
      <c r="P306" s="458"/>
      <c r="Q306" s="458"/>
      <c r="R306" s="458"/>
      <c r="S306" s="458"/>
      <c r="T306" s="458"/>
      <c r="U306" s="458"/>
      <c r="V306" s="458"/>
      <c r="W306" s="458"/>
    </row>
    <row r="307" spans="1:23" ht="15.75" customHeight="1">
      <c r="A307" s="458"/>
      <c r="B307" s="458"/>
      <c r="C307" s="458"/>
      <c r="D307" s="458"/>
      <c r="E307" s="458"/>
      <c r="F307" s="458"/>
      <c r="G307" s="458"/>
      <c r="H307" s="458"/>
      <c r="I307" s="458"/>
      <c r="J307" s="458"/>
      <c r="K307" s="458"/>
      <c r="L307" s="458"/>
      <c r="M307" s="458"/>
      <c r="N307" s="458"/>
      <c r="O307" s="458"/>
      <c r="P307" s="458"/>
      <c r="Q307" s="458"/>
      <c r="R307" s="458"/>
      <c r="S307" s="458"/>
      <c r="T307" s="458"/>
      <c r="U307" s="458"/>
      <c r="V307" s="458"/>
      <c r="W307" s="458"/>
    </row>
    <row r="308" spans="1:23" ht="15.75" customHeight="1">
      <c r="A308" s="458"/>
      <c r="B308" s="458"/>
      <c r="C308" s="458"/>
      <c r="D308" s="458"/>
      <c r="E308" s="458"/>
      <c r="F308" s="458"/>
      <c r="G308" s="458"/>
      <c r="H308" s="458"/>
      <c r="I308" s="458"/>
      <c r="J308" s="458"/>
      <c r="K308" s="458"/>
      <c r="L308" s="458"/>
      <c r="M308" s="458"/>
      <c r="N308" s="458"/>
      <c r="O308" s="458"/>
      <c r="P308" s="458"/>
      <c r="Q308" s="458"/>
      <c r="R308" s="458"/>
      <c r="S308" s="458"/>
      <c r="T308" s="458"/>
      <c r="U308" s="458"/>
      <c r="V308" s="458"/>
      <c r="W308" s="458"/>
    </row>
    <row r="309" spans="1:23" ht="15.75" customHeight="1">
      <c r="A309" s="458"/>
      <c r="B309" s="458"/>
      <c r="C309" s="458"/>
      <c r="D309" s="458"/>
      <c r="E309" s="458"/>
      <c r="F309" s="458"/>
      <c r="G309" s="458"/>
      <c r="H309" s="458"/>
      <c r="I309" s="458"/>
      <c r="J309" s="458"/>
      <c r="K309" s="458"/>
      <c r="L309" s="458"/>
      <c r="M309" s="458"/>
      <c r="N309" s="458"/>
      <c r="O309" s="458"/>
      <c r="P309" s="458"/>
      <c r="Q309" s="458"/>
      <c r="R309" s="458"/>
      <c r="S309" s="458"/>
      <c r="T309" s="458"/>
      <c r="U309" s="458"/>
      <c r="V309" s="458"/>
      <c r="W309" s="458"/>
    </row>
    <row r="310" spans="1:23" ht="15.75" customHeight="1">
      <c r="A310" s="458"/>
      <c r="B310" s="458"/>
      <c r="C310" s="458"/>
      <c r="D310" s="458"/>
      <c r="E310" s="458"/>
      <c r="F310" s="458"/>
      <c r="G310" s="458"/>
      <c r="H310" s="458"/>
      <c r="I310" s="458"/>
      <c r="J310" s="458"/>
      <c r="K310" s="458"/>
      <c r="L310" s="458"/>
      <c r="M310" s="458"/>
      <c r="N310" s="458"/>
      <c r="O310" s="458"/>
      <c r="P310" s="458"/>
      <c r="Q310" s="458"/>
      <c r="R310" s="458"/>
      <c r="S310" s="458"/>
      <c r="T310" s="458"/>
      <c r="U310" s="458"/>
      <c r="V310" s="458"/>
      <c r="W310" s="458"/>
    </row>
    <row r="311" spans="1:23" ht="15.75" customHeight="1">
      <c r="A311" s="458"/>
      <c r="B311" s="458"/>
      <c r="C311" s="458"/>
      <c r="D311" s="458"/>
      <c r="E311" s="458"/>
      <c r="F311" s="458"/>
      <c r="G311" s="458"/>
      <c r="H311" s="458"/>
      <c r="I311" s="458"/>
      <c r="J311" s="458"/>
      <c r="K311" s="458"/>
      <c r="L311" s="458"/>
      <c r="M311" s="458"/>
      <c r="N311" s="458"/>
      <c r="O311" s="458"/>
      <c r="P311" s="458"/>
      <c r="Q311" s="458"/>
      <c r="R311" s="458"/>
      <c r="S311" s="458"/>
      <c r="T311" s="458"/>
      <c r="U311" s="458"/>
      <c r="V311" s="458"/>
      <c r="W311" s="458"/>
    </row>
    <row r="312" spans="1:23" ht="15.75" customHeight="1">
      <c r="A312" s="458"/>
      <c r="B312" s="458"/>
      <c r="C312" s="458"/>
      <c r="D312" s="458"/>
      <c r="E312" s="458"/>
      <c r="F312" s="458"/>
      <c r="G312" s="458"/>
      <c r="H312" s="458"/>
      <c r="I312" s="458"/>
      <c r="J312" s="458"/>
      <c r="K312" s="458"/>
      <c r="L312" s="458"/>
      <c r="M312" s="458"/>
      <c r="N312" s="458"/>
      <c r="O312" s="458"/>
      <c r="P312" s="458"/>
      <c r="Q312" s="458"/>
      <c r="R312" s="458"/>
      <c r="S312" s="458"/>
      <c r="T312" s="458"/>
      <c r="U312" s="458"/>
      <c r="V312" s="458"/>
      <c r="W312" s="458"/>
    </row>
    <row r="313" spans="1:23" ht="15.75" customHeight="1">
      <c r="A313" s="458"/>
      <c r="B313" s="458"/>
      <c r="C313" s="458"/>
      <c r="D313" s="458"/>
      <c r="E313" s="458"/>
      <c r="F313" s="458"/>
      <c r="G313" s="458"/>
      <c r="H313" s="458"/>
      <c r="I313" s="458"/>
      <c r="J313" s="458"/>
      <c r="K313" s="458"/>
      <c r="L313" s="458"/>
      <c r="M313" s="458"/>
      <c r="N313" s="458"/>
      <c r="O313" s="458"/>
      <c r="P313" s="458"/>
      <c r="Q313" s="458"/>
      <c r="R313" s="458"/>
      <c r="S313" s="458"/>
      <c r="T313" s="458"/>
      <c r="U313" s="458"/>
      <c r="V313" s="458"/>
      <c r="W313" s="458"/>
    </row>
    <row r="314" spans="1:23" ht="15.75" customHeight="1">
      <c r="A314" s="458"/>
      <c r="B314" s="458"/>
      <c r="C314" s="458"/>
      <c r="D314" s="458"/>
      <c r="E314" s="458"/>
      <c r="F314" s="458"/>
      <c r="G314" s="458"/>
      <c r="H314" s="458"/>
      <c r="I314" s="458"/>
      <c r="J314" s="458"/>
      <c r="K314" s="458"/>
      <c r="L314" s="458"/>
      <c r="M314" s="458"/>
      <c r="N314" s="458"/>
      <c r="O314" s="458"/>
      <c r="P314" s="458"/>
      <c r="Q314" s="458"/>
      <c r="R314" s="458"/>
      <c r="S314" s="458"/>
      <c r="T314" s="458"/>
      <c r="U314" s="458"/>
      <c r="V314" s="458"/>
      <c r="W314" s="458"/>
    </row>
    <row r="315" spans="1:23" ht="15.75" customHeight="1">
      <c r="A315" s="458"/>
      <c r="B315" s="458"/>
      <c r="C315" s="458"/>
      <c r="D315" s="458"/>
      <c r="E315" s="458"/>
      <c r="F315" s="458"/>
      <c r="G315" s="458"/>
      <c r="H315" s="458"/>
      <c r="I315" s="458"/>
      <c r="J315" s="458"/>
      <c r="K315" s="458"/>
      <c r="L315" s="458"/>
      <c r="M315" s="458"/>
      <c r="N315" s="458"/>
      <c r="O315" s="458"/>
      <c r="P315" s="458"/>
      <c r="Q315" s="458"/>
      <c r="R315" s="458"/>
      <c r="S315" s="458"/>
      <c r="T315" s="458"/>
      <c r="U315" s="458"/>
      <c r="V315" s="458"/>
      <c r="W315" s="458"/>
    </row>
    <row r="316" spans="1:23" ht="15.75" customHeight="1">
      <c r="A316" s="458"/>
      <c r="B316" s="458"/>
      <c r="C316" s="458"/>
      <c r="D316" s="458"/>
      <c r="E316" s="458"/>
      <c r="F316" s="458"/>
      <c r="G316" s="458"/>
      <c r="H316" s="458"/>
      <c r="I316" s="458"/>
      <c r="J316" s="458"/>
      <c r="K316" s="458"/>
      <c r="L316" s="458"/>
      <c r="M316" s="458"/>
      <c r="N316" s="458"/>
      <c r="O316" s="458"/>
      <c r="P316" s="458"/>
      <c r="Q316" s="458"/>
      <c r="R316" s="458"/>
      <c r="S316" s="458"/>
      <c r="T316" s="458"/>
      <c r="U316" s="458"/>
      <c r="V316" s="458"/>
      <c r="W316" s="458"/>
    </row>
    <row r="317" spans="1:23" ht="15.75" customHeight="1">
      <c r="A317" s="458"/>
      <c r="B317" s="458"/>
      <c r="C317" s="458"/>
      <c r="D317" s="458"/>
      <c r="E317" s="458"/>
      <c r="F317" s="458"/>
      <c r="G317" s="458"/>
      <c r="H317" s="458"/>
      <c r="I317" s="458"/>
      <c r="J317" s="458"/>
      <c r="K317" s="458"/>
      <c r="L317" s="458"/>
      <c r="M317" s="458"/>
      <c r="N317" s="458"/>
      <c r="O317" s="458"/>
      <c r="P317" s="458"/>
      <c r="Q317" s="458"/>
      <c r="R317" s="458"/>
      <c r="S317" s="458"/>
      <c r="T317" s="458"/>
      <c r="U317" s="458"/>
      <c r="V317" s="458"/>
      <c r="W317" s="458"/>
    </row>
    <row r="318" spans="1:23" ht="15.75" customHeight="1">
      <c r="A318" s="458"/>
      <c r="B318" s="458"/>
      <c r="C318" s="458"/>
      <c r="D318" s="458"/>
      <c r="E318" s="458"/>
      <c r="F318" s="458"/>
      <c r="G318" s="458"/>
      <c r="H318" s="458"/>
      <c r="I318" s="458"/>
      <c r="J318" s="458"/>
      <c r="K318" s="458"/>
      <c r="L318" s="458"/>
      <c r="M318" s="458"/>
      <c r="N318" s="458"/>
      <c r="O318" s="458"/>
      <c r="P318" s="458"/>
      <c r="Q318" s="458"/>
      <c r="R318" s="458"/>
      <c r="S318" s="458"/>
      <c r="T318" s="458"/>
      <c r="U318" s="458"/>
      <c r="V318" s="458"/>
      <c r="W318" s="458"/>
    </row>
    <row r="319" spans="1:23" ht="15.75" customHeight="1">
      <c r="A319" s="458"/>
      <c r="B319" s="458"/>
      <c r="C319" s="458"/>
      <c r="D319" s="458"/>
      <c r="E319" s="458"/>
      <c r="F319" s="458"/>
      <c r="G319" s="458"/>
      <c r="H319" s="458"/>
      <c r="I319" s="458"/>
      <c r="J319" s="458"/>
      <c r="K319" s="458"/>
      <c r="L319" s="458"/>
      <c r="M319" s="458"/>
      <c r="N319" s="458"/>
      <c r="O319" s="458"/>
      <c r="P319" s="458"/>
      <c r="Q319" s="458"/>
      <c r="R319" s="458"/>
      <c r="S319" s="458"/>
      <c r="T319" s="458"/>
      <c r="U319" s="458"/>
      <c r="V319" s="458"/>
      <c r="W319" s="458"/>
    </row>
    <row r="320" spans="1:23" ht="15.75" customHeight="1">
      <c r="A320" s="458"/>
      <c r="B320" s="458"/>
      <c r="C320" s="458"/>
      <c r="D320" s="458"/>
      <c r="E320" s="458"/>
      <c r="F320" s="458"/>
      <c r="G320" s="458"/>
      <c r="H320" s="458"/>
      <c r="I320" s="458"/>
      <c r="J320" s="458"/>
      <c r="K320" s="458"/>
      <c r="L320" s="458"/>
      <c r="M320" s="458"/>
      <c r="N320" s="458"/>
      <c r="O320" s="458"/>
      <c r="P320" s="458"/>
      <c r="Q320" s="458"/>
      <c r="R320" s="458"/>
      <c r="S320" s="458"/>
      <c r="T320" s="458"/>
      <c r="U320" s="458"/>
      <c r="V320" s="458"/>
      <c r="W320" s="458"/>
    </row>
    <row r="321" spans="1:23" ht="15.75" customHeight="1">
      <c r="A321" s="458"/>
      <c r="B321" s="458"/>
      <c r="C321" s="458"/>
      <c r="D321" s="458"/>
      <c r="E321" s="458"/>
      <c r="F321" s="458"/>
      <c r="G321" s="458"/>
      <c r="H321" s="458"/>
      <c r="I321" s="458"/>
      <c r="J321" s="458"/>
      <c r="K321" s="458"/>
      <c r="L321" s="458"/>
      <c r="M321" s="458"/>
      <c r="N321" s="458"/>
      <c r="O321" s="458"/>
      <c r="P321" s="458"/>
      <c r="Q321" s="458"/>
      <c r="R321" s="458"/>
      <c r="S321" s="458"/>
      <c r="T321" s="458"/>
      <c r="U321" s="458"/>
      <c r="V321" s="458"/>
      <c r="W321" s="458"/>
    </row>
    <row r="322" spans="1:23" ht="15.75" customHeight="1">
      <c r="A322" s="458"/>
      <c r="B322" s="458"/>
      <c r="C322" s="458"/>
      <c r="D322" s="458"/>
      <c r="E322" s="458"/>
      <c r="F322" s="458"/>
      <c r="G322" s="458"/>
      <c r="H322" s="458"/>
      <c r="I322" s="458"/>
      <c r="J322" s="458"/>
      <c r="K322" s="458"/>
      <c r="L322" s="458"/>
      <c r="M322" s="458"/>
      <c r="N322" s="458"/>
      <c r="O322" s="458"/>
      <c r="P322" s="458"/>
      <c r="Q322" s="458"/>
      <c r="R322" s="458"/>
      <c r="S322" s="458"/>
      <c r="T322" s="458"/>
      <c r="U322" s="458"/>
      <c r="V322" s="458"/>
      <c r="W322" s="458"/>
    </row>
    <row r="323" spans="1:23" ht="15.75" customHeight="1">
      <c r="A323" s="458"/>
      <c r="B323" s="458"/>
      <c r="C323" s="458"/>
      <c r="D323" s="458"/>
      <c r="E323" s="458"/>
      <c r="F323" s="458"/>
      <c r="G323" s="458"/>
      <c r="H323" s="458"/>
      <c r="I323" s="458"/>
      <c r="J323" s="458"/>
      <c r="K323" s="458"/>
      <c r="L323" s="458"/>
      <c r="M323" s="458"/>
      <c r="N323" s="458"/>
      <c r="O323" s="458"/>
      <c r="P323" s="458"/>
      <c r="Q323" s="458"/>
      <c r="R323" s="458"/>
      <c r="S323" s="458"/>
      <c r="T323" s="458"/>
      <c r="U323" s="458"/>
      <c r="V323" s="458"/>
      <c r="W323" s="458"/>
    </row>
    <row r="324" spans="1:23" ht="15.75" customHeight="1">
      <c r="A324" s="458"/>
      <c r="B324" s="458"/>
      <c r="C324" s="458"/>
      <c r="D324" s="458"/>
      <c r="E324" s="458"/>
      <c r="F324" s="458"/>
      <c r="G324" s="458"/>
      <c r="H324" s="458"/>
      <c r="I324" s="458"/>
      <c r="J324" s="458"/>
      <c r="K324" s="458"/>
      <c r="L324" s="458"/>
      <c r="M324" s="458"/>
      <c r="N324" s="458"/>
      <c r="O324" s="458"/>
      <c r="P324" s="458"/>
      <c r="Q324" s="458"/>
      <c r="R324" s="458"/>
      <c r="S324" s="458"/>
      <c r="T324" s="458"/>
      <c r="U324" s="458"/>
      <c r="V324" s="458"/>
      <c r="W324" s="458"/>
    </row>
    <row r="325" spans="1:23" ht="15.75" customHeight="1">
      <c r="A325" s="458"/>
      <c r="B325" s="458"/>
      <c r="C325" s="458"/>
      <c r="D325" s="458"/>
      <c r="E325" s="458"/>
      <c r="F325" s="458"/>
      <c r="G325" s="458"/>
      <c r="H325" s="458"/>
      <c r="I325" s="458"/>
      <c r="J325" s="458"/>
      <c r="K325" s="458"/>
      <c r="L325" s="458"/>
      <c r="M325" s="458"/>
      <c r="N325" s="458"/>
      <c r="O325" s="458"/>
      <c r="P325" s="458"/>
      <c r="Q325" s="458"/>
      <c r="R325" s="458"/>
      <c r="S325" s="458"/>
      <c r="T325" s="458"/>
      <c r="U325" s="458"/>
      <c r="V325" s="458"/>
      <c r="W325" s="458"/>
    </row>
    <row r="326" spans="1:23" ht="15.75" customHeight="1">
      <c r="A326" s="458"/>
      <c r="B326" s="458"/>
      <c r="C326" s="458"/>
      <c r="D326" s="458"/>
      <c r="E326" s="458"/>
      <c r="F326" s="458"/>
      <c r="G326" s="458"/>
      <c r="H326" s="458"/>
      <c r="I326" s="458"/>
      <c r="J326" s="458"/>
      <c r="K326" s="458"/>
      <c r="L326" s="458"/>
      <c r="M326" s="458"/>
      <c r="N326" s="458"/>
      <c r="O326" s="458"/>
      <c r="P326" s="458"/>
      <c r="Q326" s="458"/>
      <c r="R326" s="458"/>
      <c r="S326" s="458"/>
      <c r="T326" s="458"/>
      <c r="U326" s="458"/>
      <c r="V326" s="458"/>
      <c r="W326" s="458"/>
    </row>
    <row r="327" spans="1:23" ht="15.75" customHeight="1">
      <c r="A327" s="458"/>
      <c r="B327" s="458"/>
      <c r="C327" s="458"/>
      <c r="D327" s="458"/>
      <c r="E327" s="458"/>
      <c r="F327" s="458"/>
      <c r="G327" s="458"/>
      <c r="H327" s="458"/>
      <c r="I327" s="458"/>
      <c r="J327" s="458"/>
      <c r="K327" s="458"/>
      <c r="L327" s="458"/>
      <c r="M327" s="458"/>
      <c r="N327" s="458"/>
      <c r="O327" s="458"/>
      <c r="P327" s="458"/>
      <c r="Q327" s="458"/>
      <c r="R327" s="458"/>
      <c r="S327" s="458"/>
      <c r="T327" s="458"/>
      <c r="U327" s="458"/>
      <c r="V327" s="458"/>
      <c r="W327" s="458"/>
    </row>
    <row r="328" spans="1:23" ht="15.75" customHeight="1">
      <c r="A328" s="458"/>
      <c r="B328" s="458"/>
      <c r="C328" s="458"/>
      <c r="D328" s="458"/>
      <c r="E328" s="458"/>
      <c r="F328" s="458"/>
      <c r="G328" s="458"/>
      <c r="H328" s="458"/>
      <c r="I328" s="458"/>
      <c r="J328" s="458"/>
      <c r="K328" s="458"/>
      <c r="L328" s="458"/>
      <c r="M328" s="458"/>
      <c r="N328" s="458"/>
      <c r="O328" s="458"/>
      <c r="P328" s="458"/>
      <c r="Q328" s="458"/>
      <c r="R328" s="458"/>
      <c r="S328" s="458"/>
      <c r="T328" s="458"/>
      <c r="U328" s="458"/>
      <c r="V328" s="458"/>
      <c r="W328" s="458"/>
    </row>
    <row r="329" spans="1:23" ht="15.75" customHeight="1">
      <c r="A329" s="458"/>
      <c r="B329" s="458"/>
      <c r="C329" s="458"/>
      <c r="D329" s="458"/>
      <c r="E329" s="458"/>
      <c r="F329" s="458"/>
      <c r="G329" s="458"/>
      <c r="H329" s="458"/>
      <c r="I329" s="458"/>
      <c r="J329" s="458"/>
      <c r="K329" s="458"/>
      <c r="L329" s="458"/>
      <c r="M329" s="458"/>
      <c r="N329" s="458"/>
      <c r="O329" s="458"/>
      <c r="P329" s="458"/>
      <c r="Q329" s="458"/>
      <c r="R329" s="458"/>
      <c r="S329" s="458"/>
      <c r="T329" s="458"/>
      <c r="U329" s="458"/>
      <c r="V329" s="458"/>
      <c r="W329" s="458"/>
    </row>
    <row r="330" spans="1:23" ht="15.75" customHeight="1">
      <c r="A330" s="458"/>
      <c r="B330" s="458"/>
      <c r="C330" s="458"/>
      <c r="D330" s="458"/>
      <c r="E330" s="458"/>
      <c r="F330" s="458"/>
      <c r="G330" s="458"/>
      <c r="H330" s="458"/>
      <c r="I330" s="458"/>
      <c r="J330" s="458"/>
      <c r="K330" s="458"/>
      <c r="L330" s="458"/>
      <c r="M330" s="458"/>
      <c r="N330" s="458"/>
      <c r="O330" s="458"/>
      <c r="P330" s="458"/>
      <c r="Q330" s="458"/>
      <c r="R330" s="458"/>
      <c r="S330" s="458"/>
      <c r="T330" s="458"/>
      <c r="U330" s="458"/>
      <c r="V330" s="458"/>
      <c r="W330" s="458"/>
    </row>
    <row r="331" spans="1:23" ht="15.75" customHeight="1">
      <c r="A331" s="458"/>
      <c r="B331" s="458"/>
      <c r="C331" s="458"/>
      <c r="D331" s="458"/>
      <c r="E331" s="458"/>
      <c r="F331" s="458"/>
      <c r="G331" s="458"/>
      <c r="H331" s="458"/>
      <c r="I331" s="458"/>
      <c r="J331" s="458"/>
      <c r="K331" s="458"/>
      <c r="L331" s="458"/>
      <c r="M331" s="458"/>
      <c r="N331" s="458"/>
      <c r="O331" s="458"/>
      <c r="P331" s="458"/>
      <c r="Q331" s="458"/>
      <c r="R331" s="458"/>
      <c r="S331" s="458"/>
      <c r="T331" s="458"/>
      <c r="U331" s="458"/>
      <c r="V331" s="458"/>
      <c r="W331" s="458"/>
    </row>
    <row r="332" spans="1:23" ht="15.75" customHeight="1">
      <c r="A332" s="458"/>
      <c r="B332" s="458"/>
      <c r="C332" s="458"/>
      <c r="D332" s="458"/>
      <c r="E332" s="458"/>
      <c r="F332" s="458"/>
      <c r="G332" s="458"/>
      <c r="H332" s="458"/>
      <c r="I332" s="458"/>
      <c r="J332" s="458"/>
      <c r="K332" s="458"/>
      <c r="L332" s="458"/>
      <c r="M332" s="458"/>
      <c r="N332" s="458"/>
      <c r="O332" s="458"/>
      <c r="P332" s="458"/>
      <c r="Q332" s="458"/>
      <c r="R332" s="458"/>
      <c r="S332" s="458"/>
      <c r="T332" s="458"/>
      <c r="U332" s="458"/>
      <c r="V332" s="458"/>
      <c r="W332" s="458"/>
    </row>
    <row r="333" spans="1:23" ht="15.75" customHeight="1">
      <c r="A333" s="458"/>
      <c r="B333" s="458"/>
      <c r="C333" s="458"/>
      <c r="D333" s="458"/>
      <c r="E333" s="458"/>
      <c r="F333" s="458"/>
      <c r="G333" s="458"/>
      <c r="H333" s="458"/>
      <c r="I333" s="458"/>
      <c r="J333" s="458"/>
      <c r="K333" s="458"/>
      <c r="L333" s="458"/>
      <c r="M333" s="458"/>
      <c r="N333" s="458"/>
      <c r="O333" s="458"/>
      <c r="P333" s="458"/>
      <c r="Q333" s="458"/>
      <c r="R333" s="458"/>
      <c r="S333" s="458"/>
      <c r="T333" s="458"/>
      <c r="U333" s="458"/>
      <c r="V333" s="458"/>
      <c r="W333" s="458"/>
    </row>
    <row r="334" spans="1:23" ht="15.75" customHeight="1">
      <c r="A334" s="458"/>
      <c r="B334" s="458"/>
      <c r="C334" s="458"/>
      <c r="D334" s="458"/>
      <c r="E334" s="458"/>
      <c r="F334" s="458"/>
      <c r="G334" s="458"/>
      <c r="H334" s="458"/>
      <c r="I334" s="458"/>
      <c r="J334" s="458"/>
      <c r="K334" s="458"/>
      <c r="L334" s="458"/>
      <c r="M334" s="458"/>
      <c r="N334" s="458"/>
      <c r="O334" s="458"/>
      <c r="P334" s="458"/>
      <c r="Q334" s="458"/>
      <c r="R334" s="458"/>
      <c r="S334" s="458"/>
      <c r="T334" s="458"/>
      <c r="U334" s="458"/>
      <c r="V334" s="458"/>
      <c r="W334" s="458"/>
    </row>
    <row r="335" spans="1:23" ht="15.75" customHeight="1">
      <c r="A335" s="458"/>
      <c r="B335" s="458"/>
      <c r="C335" s="458"/>
      <c r="D335" s="458"/>
      <c r="E335" s="458"/>
      <c r="F335" s="458"/>
      <c r="G335" s="458"/>
      <c r="H335" s="458"/>
      <c r="I335" s="458"/>
      <c r="J335" s="458"/>
      <c r="K335" s="458"/>
      <c r="L335" s="458"/>
      <c r="M335" s="458"/>
      <c r="N335" s="458"/>
      <c r="O335" s="458"/>
      <c r="P335" s="458"/>
      <c r="Q335" s="458"/>
      <c r="R335" s="458"/>
      <c r="S335" s="458"/>
      <c r="T335" s="458"/>
      <c r="U335" s="458"/>
      <c r="V335" s="458"/>
      <c r="W335" s="458"/>
    </row>
    <row r="336" spans="1:23" ht="15.75" customHeight="1">
      <c r="A336" s="458"/>
      <c r="B336" s="458"/>
      <c r="C336" s="458"/>
      <c r="D336" s="458"/>
      <c r="E336" s="458"/>
      <c r="F336" s="458"/>
      <c r="G336" s="458"/>
      <c r="H336" s="458"/>
      <c r="I336" s="458"/>
      <c r="J336" s="458"/>
      <c r="K336" s="458"/>
      <c r="L336" s="458"/>
      <c r="M336" s="458"/>
      <c r="N336" s="458"/>
      <c r="O336" s="458"/>
      <c r="P336" s="458"/>
      <c r="Q336" s="458"/>
      <c r="R336" s="458"/>
      <c r="S336" s="458"/>
      <c r="T336" s="458"/>
      <c r="U336" s="458"/>
      <c r="V336" s="458"/>
      <c r="W336" s="458"/>
    </row>
    <row r="337" spans="1:23" ht="15.75" customHeight="1">
      <c r="A337" s="458"/>
      <c r="B337" s="458"/>
      <c r="C337" s="458"/>
      <c r="D337" s="458"/>
      <c r="E337" s="458"/>
      <c r="F337" s="458"/>
      <c r="G337" s="458"/>
      <c r="H337" s="458"/>
      <c r="I337" s="458"/>
      <c r="J337" s="458"/>
      <c r="K337" s="458"/>
      <c r="L337" s="458"/>
      <c r="M337" s="458"/>
      <c r="N337" s="458"/>
      <c r="O337" s="458"/>
      <c r="P337" s="458"/>
      <c r="Q337" s="458"/>
      <c r="R337" s="458"/>
      <c r="S337" s="458"/>
      <c r="T337" s="458"/>
      <c r="U337" s="458"/>
      <c r="V337" s="458"/>
      <c r="W337" s="458"/>
    </row>
    <row r="338" spans="1:23" ht="15.75" customHeight="1">
      <c r="A338" s="458"/>
      <c r="B338" s="458"/>
      <c r="C338" s="458"/>
      <c r="D338" s="458"/>
      <c r="E338" s="458"/>
      <c r="F338" s="458"/>
      <c r="G338" s="458"/>
      <c r="H338" s="458"/>
      <c r="I338" s="458"/>
      <c r="J338" s="458"/>
      <c r="K338" s="458"/>
      <c r="L338" s="458"/>
      <c r="M338" s="458"/>
      <c r="N338" s="458"/>
      <c r="O338" s="458"/>
      <c r="P338" s="458"/>
      <c r="Q338" s="458"/>
      <c r="R338" s="458"/>
      <c r="S338" s="458"/>
      <c r="T338" s="458"/>
      <c r="U338" s="458"/>
      <c r="V338" s="458"/>
      <c r="W338" s="458"/>
    </row>
    <row r="339" spans="1:23" ht="15.75" customHeight="1">
      <c r="A339" s="458"/>
      <c r="B339" s="458"/>
      <c r="C339" s="458"/>
      <c r="D339" s="458"/>
      <c r="E339" s="458"/>
      <c r="F339" s="458"/>
      <c r="G339" s="458"/>
      <c r="H339" s="458"/>
      <c r="I339" s="458"/>
      <c r="J339" s="458"/>
      <c r="K339" s="458"/>
      <c r="L339" s="458"/>
      <c r="M339" s="458"/>
      <c r="N339" s="458"/>
      <c r="O339" s="458"/>
      <c r="P339" s="458"/>
      <c r="Q339" s="458"/>
      <c r="R339" s="458"/>
      <c r="S339" s="458"/>
      <c r="T339" s="458"/>
      <c r="U339" s="458"/>
      <c r="V339" s="458"/>
      <c r="W339" s="458"/>
    </row>
    <row r="340" spans="1:23" ht="15.75" customHeight="1">
      <c r="A340" s="458"/>
      <c r="B340" s="458"/>
      <c r="C340" s="458"/>
      <c r="D340" s="458"/>
      <c r="E340" s="458"/>
      <c r="F340" s="458"/>
      <c r="G340" s="458"/>
      <c r="H340" s="458"/>
      <c r="I340" s="458"/>
      <c r="J340" s="458"/>
      <c r="K340" s="458"/>
      <c r="L340" s="458"/>
      <c r="M340" s="458"/>
      <c r="N340" s="458"/>
      <c r="O340" s="458"/>
      <c r="P340" s="458"/>
      <c r="Q340" s="458"/>
      <c r="R340" s="458"/>
      <c r="S340" s="458"/>
      <c r="T340" s="458"/>
      <c r="U340" s="458"/>
      <c r="V340" s="458"/>
      <c r="W340" s="458"/>
    </row>
    <row r="341" spans="1:23" ht="15.75" customHeight="1">
      <c r="A341" s="458"/>
      <c r="B341" s="458"/>
      <c r="C341" s="458"/>
      <c r="D341" s="458"/>
      <c r="E341" s="458"/>
      <c r="F341" s="458"/>
      <c r="G341" s="458"/>
      <c r="H341" s="458"/>
      <c r="I341" s="458"/>
      <c r="J341" s="458"/>
      <c r="K341" s="458"/>
      <c r="L341" s="458"/>
      <c r="M341" s="458"/>
      <c r="N341" s="458"/>
      <c r="O341" s="458"/>
      <c r="P341" s="458"/>
      <c r="Q341" s="458"/>
      <c r="R341" s="458"/>
      <c r="S341" s="458"/>
      <c r="T341" s="458"/>
      <c r="U341" s="458"/>
      <c r="V341" s="458"/>
      <c r="W341" s="458"/>
    </row>
    <row r="342" spans="1:23" ht="15.75" customHeight="1">
      <c r="A342" s="458"/>
      <c r="B342" s="458"/>
      <c r="C342" s="458"/>
      <c r="D342" s="458"/>
      <c r="E342" s="458"/>
      <c r="F342" s="458"/>
      <c r="G342" s="458"/>
      <c r="H342" s="458"/>
      <c r="I342" s="458"/>
      <c r="J342" s="458"/>
      <c r="K342" s="458"/>
      <c r="L342" s="458"/>
      <c r="M342" s="458"/>
      <c r="N342" s="458"/>
      <c r="O342" s="458"/>
      <c r="P342" s="458"/>
      <c r="Q342" s="458"/>
      <c r="R342" s="458"/>
      <c r="S342" s="458"/>
      <c r="T342" s="458"/>
      <c r="U342" s="458"/>
      <c r="V342" s="458"/>
      <c r="W342" s="458"/>
    </row>
    <row r="343" spans="1:23" ht="15.75" customHeight="1">
      <c r="A343" s="458"/>
      <c r="B343" s="458"/>
      <c r="C343" s="458"/>
      <c r="D343" s="458"/>
      <c r="E343" s="458"/>
      <c r="F343" s="458"/>
      <c r="G343" s="458"/>
      <c r="H343" s="458"/>
      <c r="I343" s="458"/>
      <c r="J343" s="458"/>
      <c r="K343" s="458"/>
      <c r="L343" s="458"/>
      <c r="M343" s="458"/>
      <c r="N343" s="458"/>
      <c r="O343" s="458"/>
      <c r="P343" s="458"/>
      <c r="Q343" s="458"/>
      <c r="R343" s="458"/>
      <c r="S343" s="458"/>
      <c r="T343" s="458"/>
      <c r="U343" s="458"/>
      <c r="V343" s="458"/>
      <c r="W343" s="458"/>
    </row>
    <row r="344" spans="1:23" ht="15.75" customHeight="1">
      <c r="A344" s="458"/>
      <c r="B344" s="458"/>
      <c r="C344" s="458"/>
      <c r="D344" s="458"/>
      <c r="E344" s="458"/>
      <c r="F344" s="458"/>
      <c r="G344" s="458"/>
      <c r="H344" s="458"/>
      <c r="I344" s="458"/>
      <c r="J344" s="458"/>
      <c r="K344" s="458"/>
      <c r="L344" s="458"/>
      <c r="M344" s="458"/>
      <c r="N344" s="458"/>
      <c r="O344" s="458"/>
      <c r="P344" s="458"/>
      <c r="Q344" s="458"/>
      <c r="R344" s="458"/>
      <c r="S344" s="458"/>
      <c r="T344" s="458"/>
      <c r="U344" s="458"/>
      <c r="V344" s="458"/>
      <c r="W344" s="458"/>
    </row>
    <row r="345" spans="1:23" ht="15.75" customHeight="1">
      <c r="A345" s="458"/>
      <c r="B345" s="458"/>
      <c r="C345" s="458"/>
      <c r="D345" s="458"/>
      <c r="E345" s="458"/>
      <c r="F345" s="458"/>
      <c r="G345" s="458"/>
      <c r="H345" s="458"/>
      <c r="I345" s="458"/>
      <c r="J345" s="458"/>
      <c r="K345" s="458"/>
      <c r="L345" s="458"/>
      <c r="M345" s="458"/>
      <c r="N345" s="458"/>
      <c r="O345" s="458"/>
      <c r="P345" s="458"/>
      <c r="Q345" s="458"/>
      <c r="R345" s="458"/>
      <c r="S345" s="458"/>
      <c r="T345" s="458"/>
      <c r="U345" s="458"/>
      <c r="V345" s="458"/>
      <c r="W345" s="458"/>
    </row>
    <row r="346" spans="1:23" ht="15.75" customHeight="1">
      <c r="A346" s="458"/>
      <c r="B346" s="458"/>
      <c r="C346" s="458"/>
      <c r="D346" s="458"/>
      <c r="E346" s="458"/>
      <c r="F346" s="458"/>
      <c r="G346" s="458"/>
      <c r="H346" s="458"/>
      <c r="I346" s="458"/>
      <c r="J346" s="458"/>
      <c r="K346" s="458"/>
      <c r="L346" s="458"/>
      <c r="M346" s="458"/>
      <c r="N346" s="458"/>
      <c r="O346" s="458"/>
      <c r="P346" s="458"/>
      <c r="Q346" s="458"/>
      <c r="R346" s="458"/>
      <c r="S346" s="458"/>
      <c r="T346" s="458"/>
      <c r="U346" s="458"/>
      <c r="V346" s="458"/>
      <c r="W346" s="458"/>
    </row>
    <row r="347" spans="1:23" ht="15.75" customHeight="1">
      <c r="A347" s="458"/>
      <c r="B347" s="458"/>
      <c r="C347" s="458"/>
      <c r="D347" s="458"/>
      <c r="E347" s="458"/>
      <c r="F347" s="458"/>
      <c r="G347" s="458"/>
      <c r="H347" s="458"/>
      <c r="I347" s="458"/>
      <c r="J347" s="458"/>
      <c r="K347" s="458"/>
      <c r="L347" s="458"/>
      <c r="M347" s="458"/>
      <c r="N347" s="458"/>
      <c r="O347" s="458"/>
      <c r="P347" s="458"/>
      <c r="Q347" s="458"/>
      <c r="R347" s="458"/>
      <c r="S347" s="458"/>
      <c r="T347" s="458"/>
      <c r="U347" s="458"/>
      <c r="V347" s="458"/>
      <c r="W347" s="458"/>
    </row>
    <row r="348" spans="1:23" ht="15.75" customHeight="1">
      <c r="A348" s="458"/>
      <c r="B348" s="458"/>
      <c r="C348" s="458"/>
      <c r="D348" s="458"/>
      <c r="E348" s="458"/>
      <c r="F348" s="458"/>
      <c r="G348" s="458"/>
      <c r="H348" s="458"/>
      <c r="I348" s="458"/>
      <c r="J348" s="458"/>
      <c r="K348" s="458"/>
      <c r="L348" s="458"/>
      <c r="M348" s="458"/>
      <c r="N348" s="458"/>
      <c r="O348" s="458"/>
      <c r="P348" s="458"/>
      <c r="Q348" s="458"/>
      <c r="R348" s="458"/>
      <c r="S348" s="458"/>
      <c r="T348" s="458"/>
      <c r="U348" s="458"/>
      <c r="V348" s="458"/>
      <c r="W348" s="458"/>
    </row>
    <row r="349" spans="1:23" ht="15.75" customHeight="1">
      <c r="A349" s="458"/>
      <c r="B349" s="458"/>
      <c r="C349" s="458"/>
      <c r="D349" s="458"/>
      <c r="E349" s="458"/>
      <c r="F349" s="458"/>
      <c r="G349" s="458"/>
      <c r="H349" s="458"/>
      <c r="I349" s="458"/>
      <c r="J349" s="458"/>
      <c r="K349" s="458"/>
      <c r="L349" s="458"/>
      <c r="M349" s="458"/>
      <c r="N349" s="458"/>
      <c r="O349" s="458"/>
      <c r="P349" s="458"/>
      <c r="Q349" s="458"/>
      <c r="R349" s="458"/>
      <c r="S349" s="458"/>
      <c r="T349" s="458"/>
      <c r="U349" s="458"/>
      <c r="V349" s="458"/>
      <c r="W349" s="458"/>
    </row>
    <row r="350" spans="1:23" ht="15.75" customHeight="1">
      <c r="A350" s="458"/>
      <c r="B350" s="458"/>
      <c r="C350" s="458"/>
      <c r="D350" s="458"/>
      <c r="E350" s="458"/>
      <c r="F350" s="458"/>
      <c r="G350" s="458"/>
      <c r="H350" s="458"/>
      <c r="I350" s="458"/>
      <c r="J350" s="458"/>
      <c r="K350" s="458"/>
      <c r="L350" s="458"/>
      <c r="M350" s="458"/>
      <c r="N350" s="458"/>
      <c r="O350" s="458"/>
      <c r="P350" s="458"/>
      <c r="Q350" s="458"/>
      <c r="R350" s="458"/>
      <c r="S350" s="458"/>
      <c r="T350" s="458"/>
      <c r="U350" s="458"/>
      <c r="V350" s="458"/>
      <c r="W350" s="458"/>
    </row>
    <row r="351" spans="1:23" ht="15.75" customHeight="1">
      <c r="A351" s="458"/>
      <c r="B351" s="458"/>
      <c r="C351" s="458"/>
      <c r="D351" s="458"/>
      <c r="E351" s="458"/>
      <c r="F351" s="458"/>
      <c r="G351" s="458"/>
      <c r="H351" s="458"/>
      <c r="I351" s="458"/>
      <c r="J351" s="458"/>
      <c r="K351" s="458"/>
      <c r="L351" s="458"/>
      <c r="M351" s="458"/>
      <c r="N351" s="458"/>
      <c r="O351" s="458"/>
      <c r="P351" s="458"/>
      <c r="Q351" s="458"/>
      <c r="R351" s="458"/>
      <c r="S351" s="458"/>
      <c r="T351" s="458"/>
      <c r="U351" s="458"/>
      <c r="V351" s="458"/>
      <c r="W351" s="458"/>
    </row>
    <row r="352" spans="1:23" ht="15.75" customHeight="1">
      <c r="A352" s="458"/>
      <c r="B352" s="458"/>
      <c r="C352" s="458"/>
      <c r="D352" s="458"/>
      <c r="E352" s="458"/>
      <c r="F352" s="458"/>
      <c r="G352" s="458"/>
      <c r="H352" s="458"/>
      <c r="I352" s="458"/>
      <c r="J352" s="458"/>
      <c r="K352" s="458"/>
      <c r="L352" s="458"/>
      <c r="M352" s="458"/>
      <c r="N352" s="458"/>
      <c r="O352" s="458"/>
      <c r="P352" s="458"/>
      <c r="Q352" s="458"/>
      <c r="R352" s="458"/>
      <c r="S352" s="458"/>
      <c r="T352" s="458"/>
      <c r="U352" s="458"/>
      <c r="V352" s="458"/>
      <c r="W352" s="458"/>
    </row>
    <row r="353" spans="1:23" ht="15.75" customHeight="1">
      <c r="A353" s="458"/>
      <c r="B353" s="458"/>
      <c r="C353" s="458"/>
      <c r="D353" s="458"/>
      <c r="E353" s="458"/>
      <c r="F353" s="458"/>
      <c r="G353" s="458"/>
      <c r="H353" s="458"/>
      <c r="I353" s="458"/>
      <c r="J353" s="458"/>
      <c r="K353" s="458"/>
      <c r="L353" s="458"/>
      <c r="M353" s="458"/>
      <c r="N353" s="458"/>
      <c r="O353" s="458"/>
      <c r="P353" s="458"/>
      <c r="Q353" s="458"/>
      <c r="R353" s="458"/>
      <c r="S353" s="458"/>
      <c r="T353" s="458"/>
      <c r="U353" s="458"/>
      <c r="V353" s="458"/>
      <c r="W353" s="458"/>
    </row>
    <row r="354" spans="1:23" ht="15.75" customHeight="1">
      <c r="A354" s="458"/>
      <c r="B354" s="458"/>
      <c r="C354" s="458"/>
      <c r="D354" s="458"/>
      <c r="E354" s="458"/>
      <c r="F354" s="458"/>
      <c r="G354" s="458"/>
      <c r="H354" s="458"/>
      <c r="I354" s="458"/>
      <c r="J354" s="458"/>
      <c r="K354" s="458"/>
      <c r="L354" s="458"/>
      <c r="M354" s="458"/>
      <c r="N354" s="458"/>
      <c r="O354" s="458"/>
      <c r="P354" s="458"/>
      <c r="Q354" s="458"/>
      <c r="R354" s="458"/>
      <c r="S354" s="458"/>
      <c r="T354" s="458"/>
      <c r="U354" s="458"/>
      <c r="V354" s="458"/>
      <c r="W354" s="458"/>
    </row>
    <row r="355" spans="1:23" ht="15.75" customHeight="1">
      <c r="A355" s="458"/>
      <c r="B355" s="458"/>
      <c r="C355" s="458"/>
      <c r="D355" s="458"/>
      <c r="E355" s="458"/>
      <c r="F355" s="458"/>
      <c r="G355" s="458"/>
      <c r="H355" s="458"/>
      <c r="I355" s="458"/>
      <c r="J355" s="458"/>
      <c r="K355" s="458"/>
      <c r="L355" s="458"/>
      <c r="M355" s="458"/>
      <c r="N355" s="458"/>
      <c r="O355" s="458"/>
      <c r="P355" s="458"/>
      <c r="Q355" s="458"/>
      <c r="R355" s="458"/>
      <c r="S355" s="458"/>
      <c r="T355" s="458"/>
      <c r="U355" s="458"/>
      <c r="V355" s="458"/>
      <c r="W355" s="458"/>
    </row>
    <row r="356" spans="1:23" ht="15.75" customHeight="1">
      <c r="A356" s="458"/>
      <c r="B356" s="458"/>
      <c r="C356" s="458"/>
      <c r="D356" s="458"/>
      <c r="E356" s="458"/>
      <c r="F356" s="458"/>
      <c r="G356" s="458"/>
      <c r="H356" s="458"/>
      <c r="I356" s="458"/>
      <c r="J356" s="458"/>
      <c r="K356" s="458"/>
      <c r="L356" s="458"/>
      <c r="M356" s="458"/>
      <c r="N356" s="458"/>
      <c r="O356" s="458"/>
      <c r="P356" s="458"/>
      <c r="Q356" s="458"/>
      <c r="R356" s="458"/>
      <c r="S356" s="458"/>
      <c r="T356" s="458"/>
      <c r="U356" s="458"/>
      <c r="V356" s="458"/>
      <c r="W356" s="458"/>
    </row>
    <row r="357" spans="1:23" ht="15.75" customHeight="1">
      <c r="A357" s="458"/>
      <c r="B357" s="458"/>
      <c r="C357" s="458"/>
      <c r="D357" s="458"/>
      <c r="E357" s="458"/>
      <c r="F357" s="458"/>
      <c r="G357" s="458"/>
      <c r="H357" s="458"/>
      <c r="I357" s="458"/>
      <c r="J357" s="458"/>
      <c r="K357" s="458"/>
      <c r="L357" s="458"/>
      <c r="M357" s="458"/>
      <c r="N357" s="458"/>
      <c r="O357" s="458"/>
      <c r="P357" s="458"/>
      <c r="Q357" s="458"/>
      <c r="R357" s="458"/>
      <c r="S357" s="458"/>
      <c r="T357" s="458"/>
      <c r="U357" s="458"/>
      <c r="V357" s="458"/>
      <c r="W357" s="458"/>
    </row>
    <row r="358" spans="1:23" ht="15.75" customHeight="1">
      <c r="A358" s="458"/>
      <c r="B358" s="458"/>
      <c r="C358" s="458"/>
      <c r="D358" s="458"/>
      <c r="E358" s="458"/>
      <c r="F358" s="458"/>
      <c r="G358" s="458"/>
      <c r="H358" s="458"/>
      <c r="I358" s="458"/>
      <c r="J358" s="458"/>
      <c r="K358" s="458"/>
      <c r="L358" s="458"/>
      <c r="M358" s="458"/>
      <c r="N358" s="458"/>
      <c r="O358" s="458"/>
      <c r="P358" s="458"/>
      <c r="Q358" s="458"/>
      <c r="R358" s="458"/>
      <c r="S358" s="458"/>
      <c r="T358" s="458"/>
      <c r="U358" s="458"/>
      <c r="V358" s="458"/>
      <c r="W358" s="458"/>
    </row>
    <row r="359" spans="1:23" ht="15.75" customHeight="1">
      <c r="A359" s="458"/>
      <c r="B359" s="458"/>
      <c r="C359" s="458"/>
      <c r="D359" s="458"/>
      <c r="E359" s="458"/>
      <c r="F359" s="458"/>
      <c r="G359" s="458"/>
      <c r="H359" s="458"/>
      <c r="I359" s="458"/>
      <c r="J359" s="458"/>
      <c r="K359" s="458"/>
      <c r="L359" s="458"/>
      <c r="M359" s="458"/>
      <c r="N359" s="458"/>
      <c r="O359" s="458"/>
      <c r="P359" s="458"/>
      <c r="Q359" s="458"/>
      <c r="R359" s="458"/>
      <c r="S359" s="458"/>
      <c r="T359" s="458"/>
      <c r="U359" s="458"/>
      <c r="V359" s="458"/>
      <c r="W359" s="458"/>
    </row>
    <row r="360" spans="1:23" ht="15.75" customHeight="1">
      <c r="A360" s="458"/>
      <c r="B360" s="458"/>
      <c r="C360" s="458"/>
      <c r="D360" s="458"/>
      <c r="E360" s="458"/>
      <c r="F360" s="458"/>
      <c r="G360" s="458"/>
      <c r="H360" s="458"/>
      <c r="I360" s="458"/>
      <c r="J360" s="458"/>
      <c r="K360" s="458"/>
      <c r="L360" s="458"/>
      <c r="M360" s="458"/>
      <c r="N360" s="458"/>
      <c r="O360" s="458"/>
      <c r="P360" s="458"/>
      <c r="Q360" s="458"/>
      <c r="R360" s="458"/>
      <c r="S360" s="458"/>
      <c r="T360" s="458"/>
      <c r="U360" s="458"/>
      <c r="V360" s="458"/>
      <c r="W360" s="458"/>
    </row>
    <row r="361" spans="1:23" ht="15.75" customHeight="1">
      <c r="A361" s="458"/>
      <c r="B361" s="458"/>
      <c r="C361" s="458"/>
      <c r="D361" s="458"/>
      <c r="E361" s="458"/>
      <c r="F361" s="458"/>
      <c r="G361" s="458"/>
      <c r="H361" s="458"/>
      <c r="I361" s="458"/>
      <c r="J361" s="458"/>
      <c r="K361" s="458"/>
      <c r="L361" s="458"/>
      <c r="M361" s="458"/>
      <c r="N361" s="458"/>
      <c r="O361" s="458"/>
      <c r="P361" s="458"/>
      <c r="Q361" s="458"/>
      <c r="R361" s="458"/>
      <c r="S361" s="458"/>
      <c r="T361" s="458"/>
      <c r="U361" s="458"/>
      <c r="V361" s="458"/>
      <c r="W361" s="458"/>
    </row>
    <row r="362" spans="1:23" ht="15.75" customHeight="1">
      <c r="A362" s="458"/>
      <c r="B362" s="458"/>
      <c r="C362" s="458"/>
      <c r="D362" s="458"/>
      <c r="E362" s="458"/>
      <c r="F362" s="458"/>
      <c r="G362" s="458"/>
      <c r="H362" s="458"/>
      <c r="I362" s="458"/>
      <c r="J362" s="458"/>
      <c r="K362" s="458"/>
      <c r="L362" s="458"/>
      <c r="M362" s="458"/>
      <c r="N362" s="458"/>
      <c r="O362" s="458"/>
      <c r="P362" s="458"/>
      <c r="Q362" s="458"/>
      <c r="R362" s="458"/>
      <c r="S362" s="458"/>
      <c r="T362" s="458"/>
      <c r="U362" s="458"/>
      <c r="V362" s="458"/>
      <c r="W362" s="458"/>
    </row>
    <row r="363" spans="1:23" ht="15.75" customHeight="1">
      <c r="A363" s="458"/>
      <c r="B363" s="458"/>
      <c r="C363" s="458"/>
      <c r="D363" s="458"/>
      <c r="E363" s="458"/>
      <c r="F363" s="458"/>
      <c r="G363" s="458"/>
      <c r="H363" s="458"/>
      <c r="I363" s="458"/>
      <c r="J363" s="458"/>
      <c r="K363" s="458"/>
      <c r="L363" s="458"/>
      <c r="M363" s="458"/>
      <c r="N363" s="458"/>
      <c r="O363" s="458"/>
      <c r="P363" s="458"/>
      <c r="Q363" s="458"/>
      <c r="R363" s="458"/>
      <c r="S363" s="458"/>
      <c r="T363" s="458"/>
      <c r="U363" s="458"/>
      <c r="V363" s="458"/>
      <c r="W363" s="458"/>
    </row>
    <row r="364" spans="1:23" ht="15.75" customHeight="1">
      <c r="A364" s="458"/>
      <c r="B364" s="458"/>
      <c r="C364" s="458"/>
      <c r="D364" s="458"/>
      <c r="E364" s="458"/>
      <c r="F364" s="458"/>
      <c r="G364" s="458"/>
      <c r="H364" s="458"/>
      <c r="I364" s="458"/>
      <c r="J364" s="458"/>
      <c r="K364" s="458"/>
      <c r="L364" s="458"/>
      <c r="M364" s="458"/>
      <c r="N364" s="458"/>
      <c r="O364" s="458"/>
      <c r="P364" s="458"/>
      <c r="Q364" s="458"/>
      <c r="R364" s="458"/>
      <c r="S364" s="458"/>
      <c r="T364" s="458"/>
      <c r="U364" s="458"/>
      <c r="V364" s="458"/>
      <c r="W364" s="458"/>
    </row>
    <row r="365" spans="1:23" ht="15.75" customHeight="1">
      <c r="A365" s="458"/>
      <c r="B365" s="458"/>
      <c r="C365" s="458"/>
      <c r="D365" s="458"/>
      <c r="E365" s="458"/>
      <c r="F365" s="458"/>
      <c r="G365" s="458"/>
      <c r="H365" s="458"/>
      <c r="I365" s="458"/>
      <c r="J365" s="458"/>
      <c r="K365" s="458"/>
      <c r="L365" s="458"/>
      <c r="M365" s="458"/>
      <c r="N365" s="458"/>
      <c r="O365" s="458"/>
      <c r="P365" s="458"/>
      <c r="Q365" s="458"/>
      <c r="R365" s="458"/>
      <c r="S365" s="458"/>
      <c r="T365" s="458"/>
      <c r="U365" s="458"/>
      <c r="V365" s="458"/>
      <c r="W365" s="458"/>
    </row>
    <row r="366" spans="1:23" ht="15.75" customHeight="1">
      <c r="A366" s="458"/>
      <c r="B366" s="458"/>
      <c r="C366" s="458"/>
      <c r="D366" s="458"/>
      <c r="E366" s="458"/>
      <c r="F366" s="458"/>
      <c r="G366" s="458"/>
      <c r="H366" s="458"/>
      <c r="I366" s="458"/>
      <c r="J366" s="458"/>
      <c r="K366" s="458"/>
      <c r="L366" s="458"/>
      <c r="M366" s="458"/>
      <c r="N366" s="458"/>
      <c r="O366" s="458"/>
      <c r="P366" s="458"/>
      <c r="Q366" s="458"/>
      <c r="R366" s="458"/>
      <c r="S366" s="458"/>
      <c r="T366" s="458"/>
      <c r="U366" s="458"/>
      <c r="V366" s="458"/>
      <c r="W366" s="458"/>
    </row>
    <row r="367" spans="1:23" ht="15.75" customHeight="1">
      <c r="A367" s="458"/>
      <c r="B367" s="458"/>
      <c r="C367" s="458"/>
      <c r="D367" s="458"/>
      <c r="E367" s="458"/>
      <c r="F367" s="458"/>
      <c r="G367" s="458"/>
      <c r="H367" s="458"/>
      <c r="I367" s="458"/>
      <c r="J367" s="458"/>
      <c r="K367" s="458"/>
      <c r="L367" s="458"/>
      <c r="M367" s="458"/>
      <c r="N367" s="458"/>
      <c r="O367" s="458"/>
      <c r="P367" s="458"/>
      <c r="Q367" s="458"/>
      <c r="R367" s="458"/>
      <c r="S367" s="458"/>
      <c r="T367" s="458"/>
      <c r="U367" s="458"/>
      <c r="V367" s="458"/>
      <c r="W367" s="458"/>
    </row>
    <row r="368" spans="1:23" ht="15.75" customHeight="1">
      <c r="A368" s="458"/>
      <c r="B368" s="458"/>
      <c r="C368" s="458"/>
      <c r="D368" s="458"/>
      <c r="E368" s="458"/>
      <c r="F368" s="458"/>
      <c r="G368" s="458"/>
      <c r="H368" s="458"/>
      <c r="I368" s="458"/>
      <c r="J368" s="458"/>
      <c r="K368" s="458"/>
      <c r="L368" s="458"/>
      <c r="M368" s="458"/>
      <c r="N368" s="458"/>
      <c r="O368" s="458"/>
      <c r="P368" s="458"/>
      <c r="Q368" s="458"/>
      <c r="R368" s="458"/>
      <c r="S368" s="458"/>
      <c r="T368" s="458"/>
      <c r="U368" s="458"/>
      <c r="V368" s="458"/>
      <c r="W368" s="458"/>
    </row>
    <row r="369" spans="1:23" ht="15.75" customHeight="1">
      <c r="A369" s="458"/>
      <c r="B369" s="458"/>
      <c r="C369" s="458"/>
      <c r="D369" s="458"/>
      <c r="E369" s="458"/>
      <c r="F369" s="458"/>
      <c r="G369" s="458"/>
      <c r="H369" s="458"/>
      <c r="I369" s="458"/>
      <c r="J369" s="458"/>
      <c r="K369" s="458"/>
      <c r="L369" s="458"/>
      <c r="M369" s="458"/>
      <c r="N369" s="458"/>
      <c r="O369" s="458"/>
      <c r="P369" s="458"/>
      <c r="Q369" s="458"/>
      <c r="R369" s="458"/>
      <c r="S369" s="458"/>
      <c r="T369" s="458"/>
      <c r="U369" s="458"/>
      <c r="V369" s="458"/>
      <c r="W369" s="458"/>
    </row>
    <row r="370" spans="1:23" ht="15.75" customHeight="1">
      <c r="A370" s="458"/>
      <c r="B370" s="458"/>
      <c r="C370" s="458"/>
      <c r="D370" s="458"/>
      <c r="E370" s="458"/>
      <c r="F370" s="458"/>
      <c r="G370" s="458"/>
      <c r="H370" s="458"/>
      <c r="I370" s="458"/>
      <c r="J370" s="458"/>
      <c r="K370" s="458"/>
      <c r="L370" s="458"/>
      <c r="M370" s="458"/>
      <c r="N370" s="458"/>
      <c r="O370" s="458"/>
      <c r="P370" s="458"/>
      <c r="Q370" s="458"/>
      <c r="R370" s="458"/>
      <c r="S370" s="458"/>
      <c r="T370" s="458"/>
      <c r="U370" s="458"/>
      <c r="V370" s="458"/>
      <c r="W370" s="458"/>
    </row>
    <row r="371" spans="1:23" ht="15.75" customHeight="1">
      <c r="A371" s="458"/>
      <c r="B371" s="458"/>
      <c r="C371" s="458"/>
      <c r="D371" s="458"/>
      <c r="E371" s="458"/>
      <c r="F371" s="458"/>
      <c r="G371" s="458"/>
      <c r="H371" s="458"/>
      <c r="I371" s="458"/>
      <c r="J371" s="458"/>
      <c r="K371" s="458"/>
      <c r="L371" s="458"/>
      <c r="M371" s="458"/>
      <c r="N371" s="458"/>
      <c r="O371" s="458"/>
      <c r="P371" s="458"/>
      <c r="Q371" s="458"/>
      <c r="R371" s="458"/>
      <c r="S371" s="458"/>
      <c r="T371" s="458"/>
      <c r="U371" s="458"/>
      <c r="V371" s="458"/>
      <c r="W371" s="458"/>
    </row>
    <row r="372" spans="1:23" ht="15.75" customHeight="1">
      <c r="A372" s="458"/>
      <c r="B372" s="458"/>
      <c r="C372" s="458"/>
      <c r="D372" s="458"/>
      <c r="E372" s="458"/>
      <c r="F372" s="458"/>
      <c r="G372" s="458"/>
      <c r="H372" s="458"/>
      <c r="I372" s="458"/>
      <c r="J372" s="458"/>
      <c r="K372" s="458"/>
      <c r="L372" s="458"/>
      <c r="M372" s="458"/>
      <c r="N372" s="458"/>
      <c r="O372" s="458"/>
      <c r="P372" s="458"/>
      <c r="Q372" s="458"/>
      <c r="R372" s="458"/>
      <c r="S372" s="458"/>
      <c r="T372" s="458"/>
      <c r="U372" s="458"/>
      <c r="V372" s="458"/>
      <c r="W372" s="458"/>
    </row>
    <row r="373" spans="1:23" ht="15.75" customHeight="1">
      <c r="A373" s="458"/>
      <c r="B373" s="458"/>
      <c r="C373" s="458"/>
      <c r="D373" s="458"/>
      <c r="E373" s="458"/>
      <c r="F373" s="458"/>
      <c r="G373" s="458"/>
      <c r="H373" s="458"/>
      <c r="I373" s="458"/>
      <c r="J373" s="458"/>
      <c r="K373" s="458"/>
      <c r="L373" s="458"/>
      <c r="M373" s="458"/>
      <c r="N373" s="458"/>
      <c r="O373" s="458"/>
      <c r="P373" s="458"/>
      <c r="Q373" s="458"/>
      <c r="R373" s="458"/>
      <c r="S373" s="458"/>
      <c r="T373" s="458"/>
      <c r="U373" s="458"/>
      <c r="V373" s="458"/>
      <c r="W373" s="458"/>
    </row>
    <row r="374" spans="1:23" ht="15.75" customHeight="1">
      <c r="A374" s="458"/>
      <c r="B374" s="458"/>
      <c r="C374" s="458"/>
      <c r="D374" s="458"/>
      <c r="E374" s="458"/>
      <c r="F374" s="458"/>
      <c r="G374" s="458"/>
      <c r="H374" s="458"/>
      <c r="I374" s="458"/>
      <c r="J374" s="458"/>
      <c r="K374" s="458"/>
      <c r="L374" s="458"/>
      <c r="M374" s="458"/>
      <c r="N374" s="458"/>
      <c r="O374" s="458"/>
      <c r="P374" s="458"/>
      <c r="Q374" s="458"/>
      <c r="R374" s="458"/>
      <c r="S374" s="458"/>
      <c r="T374" s="458"/>
      <c r="U374" s="458"/>
      <c r="V374" s="458"/>
      <c r="W374" s="458"/>
    </row>
    <row r="375" spans="1:23" ht="15.75" customHeight="1">
      <c r="A375" s="458"/>
      <c r="B375" s="458"/>
      <c r="C375" s="458"/>
      <c r="D375" s="458"/>
      <c r="E375" s="458"/>
      <c r="F375" s="458"/>
      <c r="G375" s="458"/>
      <c r="H375" s="458"/>
      <c r="I375" s="458"/>
      <c r="J375" s="458"/>
      <c r="K375" s="458"/>
      <c r="L375" s="458"/>
      <c r="M375" s="458"/>
      <c r="N375" s="458"/>
      <c r="O375" s="458"/>
      <c r="P375" s="458"/>
      <c r="Q375" s="458"/>
      <c r="R375" s="458"/>
      <c r="S375" s="458"/>
      <c r="T375" s="458"/>
      <c r="U375" s="458"/>
      <c r="V375" s="458"/>
      <c r="W375" s="458"/>
    </row>
    <row r="376" spans="1:23" ht="15.75" customHeight="1">
      <c r="A376" s="458"/>
      <c r="B376" s="458"/>
      <c r="C376" s="458"/>
      <c r="D376" s="458"/>
      <c r="E376" s="458"/>
      <c r="F376" s="458"/>
      <c r="G376" s="458"/>
      <c r="H376" s="458"/>
      <c r="I376" s="458"/>
      <c r="J376" s="458"/>
      <c r="K376" s="458"/>
      <c r="L376" s="458"/>
      <c r="M376" s="458"/>
      <c r="N376" s="458"/>
      <c r="O376" s="458"/>
      <c r="P376" s="458"/>
      <c r="Q376" s="458"/>
      <c r="R376" s="458"/>
      <c r="S376" s="458"/>
      <c r="T376" s="458"/>
      <c r="U376" s="458"/>
      <c r="V376" s="458"/>
      <c r="W376" s="458"/>
    </row>
    <row r="377" spans="1:23" ht="15.75" customHeight="1">
      <c r="A377" s="458"/>
      <c r="B377" s="458"/>
      <c r="C377" s="458"/>
      <c r="D377" s="458"/>
      <c r="E377" s="458"/>
      <c r="F377" s="458"/>
      <c r="G377" s="458"/>
      <c r="H377" s="458"/>
      <c r="I377" s="458"/>
      <c r="J377" s="458"/>
      <c r="K377" s="458"/>
      <c r="L377" s="458"/>
      <c r="M377" s="458"/>
      <c r="N377" s="458"/>
      <c r="O377" s="458"/>
      <c r="P377" s="458"/>
      <c r="Q377" s="458"/>
      <c r="R377" s="458"/>
      <c r="S377" s="458"/>
      <c r="T377" s="458"/>
      <c r="U377" s="458"/>
      <c r="V377" s="458"/>
      <c r="W377" s="458"/>
    </row>
    <row r="378" spans="1:23" ht="15.75" customHeight="1">
      <c r="A378" s="458"/>
      <c r="B378" s="458"/>
      <c r="C378" s="458"/>
      <c r="D378" s="458"/>
      <c r="E378" s="458"/>
      <c r="F378" s="458"/>
      <c r="G378" s="458"/>
      <c r="H378" s="458"/>
      <c r="I378" s="458"/>
      <c r="J378" s="458"/>
      <c r="K378" s="458"/>
      <c r="L378" s="458"/>
      <c r="M378" s="458"/>
      <c r="N378" s="458"/>
      <c r="O378" s="458"/>
      <c r="P378" s="458"/>
      <c r="Q378" s="458"/>
      <c r="R378" s="458"/>
      <c r="S378" s="458"/>
      <c r="T378" s="458"/>
      <c r="U378" s="458"/>
      <c r="V378" s="458"/>
      <c r="W378" s="458"/>
    </row>
    <row r="379" spans="1:23" ht="15.75" customHeight="1">
      <c r="A379" s="458"/>
      <c r="B379" s="458"/>
      <c r="C379" s="458"/>
      <c r="D379" s="458"/>
      <c r="E379" s="458"/>
      <c r="F379" s="458"/>
      <c r="G379" s="458"/>
      <c r="H379" s="458"/>
      <c r="I379" s="458"/>
      <c r="J379" s="458"/>
      <c r="K379" s="458"/>
      <c r="L379" s="458"/>
      <c r="M379" s="458"/>
      <c r="N379" s="458"/>
      <c r="O379" s="458"/>
      <c r="P379" s="458"/>
      <c r="Q379" s="458"/>
      <c r="R379" s="458"/>
      <c r="S379" s="458"/>
      <c r="T379" s="458"/>
      <c r="U379" s="458"/>
      <c r="V379" s="458"/>
      <c r="W379" s="458"/>
    </row>
    <row r="380" spans="1:23" ht="15.75" customHeight="1">
      <c r="A380" s="458"/>
      <c r="B380" s="458"/>
      <c r="C380" s="458"/>
      <c r="D380" s="458"/>
      <c r="E380" s="458"/>
      <c r="F380" s="458"/>
      <c r="G380" s="458"/>
      <c r="H380" s="458"/>
      <c r="I380" s="458"/>
      <c r="J380" s="458"/>
      <c r="K380" s="458"/>
      <c r="L380" s="458"/>
      <c r="M380" s="458"/>
      <c r="N380" s="458"/>
      <c r="O380" s="458"/>
      <c r="P380" s="458"/>
      <c r="Q380" s="458"/>
      <c r="R380" s="458"/>
      <c r="S380" s="458"/>
      <c r="T380" s="458"/>
      <c r="U380" s="458"/>
      <c r="V380" s="458"/>
      <c r="W380" s="458"/>
    </row>
    <row r="381" spans="1:23" ht="15.75" customHeight="1">
      <c r="A381" s="458"/>
      <c r="B381" s="458"/>
      <c r="C381" s="458"/>
      <c r="D381" s="458"/>
      <c r="E381" s="458"/>
      <c r="F381" s="458"/>
      <c r="G381" s="458"/>
      <c r="H381" s="458"/>
      <c r="I381" s="458"/>
      <c r="J381" s="458"/>
      <c r="K381" s="458"/>
      <c r="L381" s="458"/>
      <c r="M381" s="458"/>
      <c r="N381" s="458"/>
      <c r="O381" s="458"/>
      <c r="P381" s="458"/>
      <c r="Q381" s="458"/>
      <c r="R381" s="458"/>
      <c r="S381" s="458"/>
      <c r="T381" s="458"/>
      <c r="U381" s="458"/>
      <c r="V381" s="458"/>
      <c r="W381" s="458"/>
    </row>
    <row r="382" spans="1:23" ht="15.75" customHeight="1">
      <c r="A382" s="458"/>
      <c r="B382" s="458"/>
      <c r="C382" s="458"/>
      <c r="D382" s="458"/>
      <c r="E382" s="458"/>
      <c r="F382" s="458"/>
      <c r="G382" s="458"/>
      <c r="H382" s="458"/>
      <c r="I382" s="458"/>
      <c r="J382" s="458"/>
      <c r="K382" s="458"/>
      <c r="L382" s="458"/>
      <c r="M382" s="458"/>
      <c r="N382" s="458"/>
      <c r="O382" s="458"/>
      <c r="P382" s="458"/>
      <c r="Q382" s="458"/>
      <c r="R382" s="458"/>
      <c r="S382" s="458"/>
      <c r="T382" s="458"/>
      <c r="U382" s="458"/>
      <c r="V382" s="458"/>
      <c r="W382" s="458"/>
    </row>
    <row r="383" spans="1:23" ht="15.75" customHeight="1">
      <c r="A383" s="458"/>
      <c r="B383" s="458"/>
      <c r="C383" s="458"/>
      <c r="D383" s="458"/>
      <c r="E383" s="458"/>
      <c r="F383" s="458"/>
      <c r="G383" s="458"/>
      <c r="H383" s="458"/>
      <c r="I383" s="458"/>
      <c r="J383" s="458"/>
      <c r="K383" s="458"/>
      <c r="L383" s="458"/>
      <c r="M383" s="458"/>
      <c r="N383" s="458"/>
      <c r="O383" s="458"/>
      <c r="P383" s="458"/>
      <c r="Q383" s="458"/>
      <c r="R383" s="458"/>
      <c r="S383" s="458"/>
      <c r="T383" s="458"/>
      <c r="U383" s="458"/>
      <c r="V383" s="458"/>
      <c r="W383" s="458"/>
    </row>
    <row r="384" spans="1:23" ht="15.75" customHeight="1">
      <c r="A384" s="458"/>
      <c r="B384" s="458"/>
      <c r="C384" s="458"/>
      <c r="D384" s="458"/>
      <c r="E384" s="458"/>
      <c r="F384" s="458"/>
      <c r="G384" s="458"/>
      <c r="H384" s="458"/>
      <c r="I384" s="458"/>
      <c r="J384" s="458"/>
      <c r="K384" s="458"/>
      <c r="L384" s="458"/>
      <c r="M384" s="458"/>
      <c r="N384" s="458"/>
      <c r="O384" s="458"/>
      <c r="P384" s="458"/>
      <c r="Q384" s="458"/>
      <c r="R384" s="458"/>
      <c r="S384" s="458"/>
      <c r="T384" s="458"/>
      <c r="U384" s="458"/>
      <c r="V384" s="458"/>
      <c r="W384" s="458"/>
    </row>
    <row r="385" spans="1:23" ht="15.75" customHeight="1">
      <c r="A385" s="458"/>
      <c r="B385" s="458"/>
      <c r="C385" s="458"/>
      <c r="D385" s="458"/>
      <c r="E385" s="458"/>
      <c r="F385" s="458"/>
      <c r="G385" s="458"/>
      <c r="H385" s="458"/>
      <c r="I385" s="458"/>
      <c r="J385" s="458"/>
      <c r="K385" s="458"/>
      <c r="L385" s="458"/>
      <c r="M385" s="458"/>
      <c r="N385" s="458"/>
      <c r="O385" s="458"/>
      <c r="P385" s="458"/>
      <c r="Q385" s="458"/>
      <c r="R385" s="458"/>
      <c r="S385" s="458"/>
      <c r="T385" s="458"/>
      <c r="U385" s="458"/>
      <c r="V385" s="458"/>
      <c r="W385" s="458"/>
    </row>
    <row r="386" spans="1:23" ht="15.75" customHeight="1">
      <c r="A386" s="458"/>
      <c r="B386" s="458"/>
      <c r="C386" s="458"/>
      <c r="D386" s="458"/>
      <c r="E386" s="458"/>
      <c r="F386" s="458"/>
      <c r="G386" s="458"/>
      <c r="H386" s="458"/>
      <c r="I386" s="458"/>
      <c r="J386" s="458"/>
      <c r="K386" s="458"/>
      <c r="L386" s="458"/>
      <c r="M386" s="458"/>
      <c r="N386" s="458"/>
      <c r="O386" s="458"/>
      <c r="P386" s="458"/>
      <c r="Q386" s="458"/>
      <c r="R386" s="458"/>
      <c r="S386" s="458"/>
      <c r="T386" s="458"/>
      <c r="U386" s="458"/>
      <c r="V386" s="458"/>
      <c r="W386" s="458"/>
    </row>
    <row r="387" spans="1:23" ht="15.75" customHeight="1">
      <c r="A387" s="458"/>
      <c r="B387" s="458"/>
      <c r="C387" s="458"/>
      <c r="D387" s="458"/>
      <c r="E387" s="458"/>
      <c r="F387" s="458"/>
      <c r="G387" s="458"/>
      <c r="H387" s="458"/>
      <c r="I387" s="458"/>
      <c r="J387" s="458"/>
      <c r="K387" s="458"/>
      <c r="L387" s="458"/>
      <c r="M387" s="458"/>
      <c r="N387" s="458"/>
      <c r="O387" s="458"/>
      <c r="P387" s="458"/>
      <c r="Q387" s="458"/>
      <c r="R387" s="458"/>
      <c r="S387" s="458"/>
      <c r="T387" s="458"/>
      <c r="U387" s="458"/>
      <c r="V387" s="458"/>
      <c r="W387" s="458"/>
    </row>
    <row r="388" spans="1:23" ht="15.75" customHeight="1">
      <c r="A388" s="458"/>
      <c r="B388" s="458"/>
      <c r="C388" s="458"/>
      <c r="D388" s="458"/>
      <c r="E388" s="458"/>
      <c r="F388" s="458"/>
      <c r="G388" s="458"/>
      <c r="H388" s="458"/>
      <c r="I388" s="458"/>
      <c r="J388" s="458"/>
      <c r="K388" s="458"/>
      <c r="L388" s="458"/>
      <c r="M388" s="458"/>
      <c r="N388" s="458"/>
      <c r="O388" s="458"/>
      <c r="P388" s="458"/>
      <c r="Q388" s="458"/>
      <c r="R388" s="458"/>
      <c r="S388" s="458"/>
      <c r="T388" s="458"/>
      <c r="U388" s="458"/>
      <c r="V388" s="458"/>
      <c r="W388" s="458"/>
    </row>
    <row r="389" spans="1:23" ht="15.75" customHeight="1">
      <c r="A389" s="458"/>
      <c r="B389" s="458"/>
      <c r="C389" s="458"/>
      <c r="D389" s="458"/>
      <c r="E389" s="458"/>
      <c r="F389" s="458"/>
      <c r="G389" s="458"/>
      <c r="H389" s="458"/>
      <c r="I389" s="458"/>
      <c r="J389" s="458"/>
      <c r="K389" s="458"/>
      <c r="L389" s="458"/>
      <c r="M389" s="458"/>
      <c r="N389" s="458"/>
      <c r="O389" s="458"/>
      <c r="P389" s="458"/>
      <c r="Q389" s="458"/>
      <c r="R389" s="458"/>
      <c r="S389" s="458"/>
      <c r="T389" s="458"/>
      <c r="U389" s="458"/>
      <c r="V389" s="458"/>
      <c r="W389" s="458"/>
    </row>
    <row r="390" spans="1:23" ht="15.75" customHeight="1">
      <c r="A390" s="458"/>
      <c r="B390" s="458"/>
      <c r="C390" s="458"/>
      <c r="D390" s="458"/>
      <c r="E390" s="458"/>
      <c r="F390" s="458"/>
      <c r="G390" s="458"/>
      <c r="H390" s="458"/>
      <c r="I390" s="458"/>
      <c r="J390" s="458"/>
      <c r="K390" s="458"/>
      <c r="L390" s="458"/>
      <c r="M390" s="458"/>
      <c r="N390" s="458"/>
      <c r="O390" s="458"/>
      <c r="P390" s="458"/>
      <c r="Q390" s="458"/>
      <c r="R390" s="458"/>
      <c r="S390" s="458"/>
      <c r="T390" s="458"/>
      <c r="U390" s="458"/>
      <c r="V390" s="458"/>
      <c r="W390" s="458"/>
    </row>
    <row r="391" spans="1:23" ht="15.75" customHeight="1">
      <c r="A391" s="458"/>
      <c r="B391" s="458"/>
      <c r="C391" s="458"/>
      <c r="D391" s="458"/>
      <c r="E391" s="458"/>
      <c r="F391" s="458"/>
      <c r="G391" s="458"/>
      <c r="H391" s="458"/>
      <c r="I391" s="458"/>
      <c r="J391" s="458"/>
      <c r="K391" s="458"/>
      <c r="L391" s="458"/>
      <c r="M391" s="458"/>
      <c r="N391" s="458"/>
      <c r="O391" s="458"/>
      <c r="P391" s="458"/>
      <c r="Q391" s="458"/>
      <c r="R391" s="458"/>
      <c r="S391" s="458"/>
      <c r="T391" s="458"/>
      <c r="U391" s="458"/>
      <c r="V391" s="458"/>
      <c r="W391" s="458"/>
    </row>
    <row r="392" spans="1:23" ht="15.75" customHeight="1">
      <c r="A392" s="458"/>
      <c r="B392" s="458"/>
      <c r="C392" s="458"/>
      <c r="D392" s="458"/>
      <c r="E392" s="458"/>
      <c r="F392" s="458"/>
      <c r="G392" s="458"/>
      <c r="H392" s="458"/>
      <c r="I392" s="458"/>
      <c r="J392" s="458"/>
      <c r="K392" s="458"/>
      <c r="L392" s="458"/>
      <c r="M392" s="458"/>
      <c r="N392" s="458"/>
      <c r="O392" s="458"/>
      <c r="P392" s="458"/>
      <c r="Q392" s="458"/>
      <c r="R392" s="458"/>
      <c r="S392" s="458"/>
      <c r="T392" s="458"/>
      <c r="U392" s="458"/>
      <c r="V392" s="458"/>
      <c r="W392" s="458"/>
    </row>
    <row r="393" spans="1:23" ht="15.75" customHeight="1">
      <c r="A393" s="458"/>
      <c r="B393" s="458"/>
      <c r="C393" s="458"/>
      <c r="D393" s="458"/>
      <c r="E393" s="458"/>
      <c r="F393" s="458"/>
      <c r="G393" s="458"/>
      <c r="H393" s="458"/>
      <c r="I393" s="458"/>
      <c r="J393" s="458"/>
      <c r="K393" s="458"/>
      <c r="L393" s="458"/>
      <c r="M393" s="458"/>
      <c r="N393" s="458"/>
      <c r="O393" s="458"/>
      <c r="P393" s="458"/>
      <c r="Q393" s="458"/>
      <c r="R393" s="458"/>
      <c r="S393" s="458"/>
      <c r="T393" s="458"/>
      <c r="U393" s="458"/>
      <c r="V393" s="458"/>
      <c r="W393" s="458"/>
    </row>
    <row r="394" spans="1:23" ht="15.75" customHeight="1">
      <c r="A394" s="458"/>
      <c r="B394" s="458"/>
      <c r="C394" s="458"/>
      <c r="D394" s="458"/>
      <c r="E394" s="458"/>
      <c r="F394" s="458"/>
      <c r="G394" s="458"/>
      <c r="H394" s="458"/>
      <c r="I394" s="458"/>
      <c r="J394" s="458"/>
      <c r="K394" s="458"/>
      <c r="L394" s="458"/>
      <c r="M394" s="458"/>
      <c r="N394" s="458"/>
      <c r="O394" s="458"/>
      <c r="P394" s="458"/>
      <c r="Q394" s="458"/>
      <c r="R394" s="458"/>
      <c r="S394" s="458"/>
      <c r="T394" s="458"/>
      <c r="U394" s="458"/>
      <c r="V394" s="458"/>
      <c r="W394" s="458"/>
    </row>
    <row r="395" spans="1:23" ht="15.75" customHeight="1">
      <c r="A395" s="458"/>
      <c r="B395" s="458"/>
      <c r="C395" s="458"/>
      <c r="D395" s="458"/>
      <c r="E395" s="458"/>
      <c r="F395" s="458"/>
      <c r="G395" s="458"/>
      <c r="H395" s="458"/>
      <c r="I395" s="458"/>
      <c r="J395" s="458"/>
      <c r="K395" s="458"/>
      <c r="L395" s="458"/>
      <c r="M395" s="458"/>
      <c r="N395" s="458"/>
      <c r="O395" s="458"/>
      <c r="P395" s="458"/>
      <c r="Q395" s="458"/>
      <c r="R395" s="458"/>
      <c r="S395" s="458"/>
      <c r="T395" s="458"/>
      <c r="U395" s="458"/>
      <c r="V395" s="458"/>
      <c r="W395" s="458"/>
    </row>
    <row r="396" spans="1:23" ht="15.75" customHeight="1">
      <c r="A396" s="458"/>
      <c r="B396" s="458"/>
      <c r="C396" s="458"/>
      <c r="D396" s="458"/>
      <c r="E396" s="458"/>
      <c r="F396" s="458"/>
      <c r="G396" s="458"/>
      <c r="H396" s="458"/>
      <c r="I396" s="458"/>
      <c r="J396" s="458"/>
      <c r="K396" s="458"/>
      <c r="L396" s="458"/>
      <c r="M396" s="458"/>
      <c r="N396" s="458"/>
      <c r="O396" s="458"/>
      <c r="P396" s="458"/>
      <c r="Q396" s="458"/>
      <c r="R396" s="458"/>
      <c r="S396" s="458"/>
      <c r="T396" s="458"/>
      <c r="U396" s="458"/>
      <c r="V396" s="458"/>
      <c r="W396" s="458"/>
    </row>
    <row r="397" spans="1:23" ht="15.75" customHeight="1">
      <c r="A397" s="458"/>
      <c r="B397" s="458"/>
      <c r="C397" s="458"/>
      <c r="D397" s="458"/>
      <c r="E397" s="458"/>
      <c r="F397" s="458"/>
      <c r="G397" s="458"/>
      <c r="H397" s="458"/>
      <c r="I397" s="458"/>
      <c r="J397" s="458"/>
      <c r="K397" s="458"/>
      <c r="L397" s="458"/>
      <c r="M397" s="458"/>
      <c r="N397" s="458"/>
      <c r="O397" s="458"/>
      <c r="P397" s="458"/>
      <c r="Q397" s="458"/>
      <c r="R397" s="458"/>
      <c r="S397" s="458"/>
      <c r="T397" s="458"/>
      <c r="U397" s="458"/>
      <c r="V397" s="458"/>
      <c r="W397" s="458"/>
    </row>
    <row r="398" spans="1:23" ht="15.75" customHeight="1">
      <c r="A398" s="458"/>
      <c r="B398" s="458"/>
      <c r="C398" s="458"/>
      <c r="D398" s="458"/>
      <c r="E398" s="458"/>
      <c r="F398" s="458"/>
      <c r="G398" s="458"/>
      <c r="H398" s="458"/>
      <c r="I398" s="458"/>
      <c r="J398" s="458"/>
      <c r="K398" s="458"/>
      <c r="L398" s="458"/>
      <c r="M398" s="458"/>
      <c r="N398" s="458"/>
      <c r="O398" s="458"/>
      <c r="P398" s="458"/>
      <c r="Q398" s="458"/>
      <c r="R398" s="458"/>
      <c r="S398" s="458"/>
      <c r="T398" s="458"/>
      <c r="U398" s="458"/>
      <c r="V398" s="458"/>
      <c r="W398" s="458"/>
    </row>
    <row r="399" spans="1:23" ht="15.75" customHeight="1">
      <c r="A399" s="458"/>
      <c r="B399" s="458"/>
      <c r="C399" s="458"/>
      <c r="D399" s="458"/>
      <c r="E399" s="458"/>
      <c r="F399" s="458"/>
      <c r="G399" s="458"/>
      <c r="H399" s="458"/>
      <c r="I399" s="458"/>
      <c r="J399" s="458"/>
      <c r="K399" s="458"/>
      <c r="L399" s="458"/>
      <c r="M399" s="458"/>
      <c r="N399" s="458"/>
      <c r="O399" s="458"/>
      <c r="P399" s="458"/>
      <c r="Q399" s="458"/>
      <c r="R399" s="458"/>
      <c r="S399" s="458"/>
      <c r="T399" s="458"/>
      <c r="U399" s="458"/>
      <c r="V399" s="458"/>
      <c r="W399" s="458"/>
    </row>
    <row r="400" spans="1:23" ht="15.75" customHeight="1">
      <c r="A400" s="458"/>
      <c r="B400" s="458"/>
      <c r="C400" s="458"/>
      <c r="D400" s="458"/>
      <c r="E400" s="458"/>
      <c r="F400" s="458"/>
      <c r="G400" s="458"/>
      <c r="H400" s="458"/>
      <c r="I400" s="458"/>
      <c r="J400" s="458"/>
      <c r="K400" s="458"/>
      <c r="L400" s="458"/>
      <c r="M400" s="458"/>
      <c r="N400" s="458"/>
      <c r="O400" s="458"/>
      <c r="P400" s="458"/>
      <c r="Q400" s="458"/>
      <c r="R400" s="458"/>
      <c r="S400" s="458"/>
      <c r="T400" s="458"/>
      <c r="U400" s="458"/>
      <c r="V400" s="458"/>
      <c r="W400" s="458"/>
    </row>
    <row r="401" spans="1:23" ht="15.75" customHeight="1">
      <c r="A401" s="458"/>
      <c r="B401" s="458"/>
      <c r="C401" s="458"/>
      <c r="D401" s="458"/>
      <c r="E401" s="458"/>
      <c r="F401" s="458"/>
      <c r="G401" s="458"/>
      <c r="H401" s="458"/>
      <c r="I401" s="458"/>
      <c r="J401" s="458"/>
      <c r="K401" s="458"/>
      <c r="L401" s="458"/>
      <c r="M401" s="458"/>
      <c r="N401" s="458"/>
      <c r="O401" s="458"/>
      <c r="P401" s="458"/>
      <c r="Q401" s="458"/>
      <c r="R401" s="458"/>
      <c r="S401" s="458"/>
      <c r="T401" s="458"/>
      <c r="U401" s="458"/>
      <c r="V401" s="458"/>
      <c r="W401" s="458"/>
    </row>
    <row r="402" spans="1:23" ht="15.75" customHeight="1">
      <c r="A402" s="458"/>
      <c r="B402" s="458"/>
      <c r="C402" s="458"/>
      <c r="D402" s="458"/>
      <c r="E402" s="458"/>
      <c r="F402" s="458"/>
      <c r="G402" s="458"/>
      <c r="H402" s="458"/>
      <c r="I402" s="458"/>
      <c r="J402" s="458"/>
      <c r="K402" s="458"/>
      <c r="L402" s="458"/>
      <c r="M402" s="458"/>
      <c r="N402" s="458"/>
      <c r="O402" s="458"/>
      <c r="P402" s="458"/>
      <c r="Q402" s="458"/>
      <c r="R402" s="458"/>
      <c r="S402" s="458"/>
      <c r="T402" s="458"/>
      <c r="U402" s="458"/>
      <c r="V402" s="458"/>
      <c r="W402" s="458"/>
    </row>
    <row r="403" spans="1:23" ht="15.75" customHeight="1">
      <c r="A403" s="458"/>
      <c r="B403" s="458"/>
      <c r="C403" s="458"/>
      <c r="D403" s="458"/>
      <c r="E403" s="458"/>
      <c r="F403" s="458"/>
      <c r="G403" s="458"/>
      <c r="H403" s="458"/>
      <c r="I403" s="458"/>
      <c r="J403" s="458"/>
      <c r="K403" s="458"/>
      <c r="L403" s="458"/>
      <c r="M403" s="458"/>
      <c r="N403" s="458"/>
      <c r="O403" s="458"/>
      <c r="P403" s="458"/>
      <c r="Q403" s="458"/>
      <c r="R403" s="458"/>
      <c r="S403" s="458"/>
      <c r="T403" s="458"/>
      <c r="U403" s="458"/>
      <c r="V403" s="458"/>
      <c r="W403" s="458"/>
    </row>
    <row r="404" spans="1:23" ht="15.75" customHeight="1">
      <c r="A404" s="458"/>
      <c r="B404" s="458"/>
      <c r="C404" s="458"/>
      <c r="D404" s="458"/>
      <c r="E404" s="458"/>
      <c r="F404" s="458"/>
      <c r="G404" s="458"/>
      <c r="H404" s="458"/>
      <c r="I404" s="458"/>
      <c r="J404" s="458"/>
      <c r="K404" s="458"/>
      <c r="L404" s="458"/>
      <c r="M404" s="458"/>
      <c r="N404" s="458"/>
      <c r="O404" s="458"/>
      <c r="P404" s="458"/>
      <c r="Q404" s="458"/>
      <c r="R404" s="458"/>
      <c r="S404" s="458"/>
      <c r="T404" s="458"/>
      <c r="U404" s="458"/>
      <c r="V404" s="458"/>
      <c r="W404" s="458"/>
    </row>
    <row r="405" spans="1:23" ht="15.75" customHeight="1">
      <c r="A405" s="458"/>
      <c r="B405" s="458"/>
      <c r="C405" s="458"/>
      <c r="D405" s="458"/>
      <c r="E405" s="458"/>
      <c r="F405" s="458"/>
      <c r="G405" s="458"/>
      <c r="H405" s="458"/>
      <c r="I405" s="458"/>
      <c r="J405" s="458"/>
      <c r="K405" s="458"/>
      <c r="L405" s="458"/>
      <c r="M405" s="458"/>
      <c r="N405" s="458"/>
      <c r="O405" s="458"/>
      <c r="P405" s="458"/>
      <c r="Q405" s="458"/>
      <c r="R405" s="458"/>
      <c r="S405" s="458"/>
      <c r="T405" s="458"/>
      <c r="U405" s="458"/>
      <c r="V405" s="458"/>
      <c r="W405" s="458"/>
    </row>
    <row r="406" spans="1:23" ht="15.75" customHeight="1">
      <c r="A406" s="458"/>
      <c r="B406" s="458"/>
      <c r="C406" s="458"/>
      <c r="D406" s="458"/>
      <c r="E406" s="458"/>
      <c r="F406" s="458"/>
      <c r="G406" s="458"/>
      <c r="H406" s="458"/>
      <c r="I406" s="458"/>
      <c r="J406" s="458"/>
      <c r="K406" s="458"/>
      <c r="L406" s="458"/>
      <c r="M406" s="458"/>
      <c r="N406" s="458"/>
      <c r="O406" s="458"/>
      <c r="P406" s="458"/>
      <c r="Q406" s="458"/>
      <c r="R406" s="458"/>
      <c r="S406" s="458"/>
      <c r="T406" s="458"/>
      <c r="U406" s="458"/>
      <c r="V406" s="458"/>
      <c r="W406" s="458"/>
    </row>
    <row r="407" spans="1:23" ht="15.75" customHeight="1">
      <c r="A407" s="458"/>
      <c r="B407" s="458"/>
      <c r="C407" s="458"/>
      <c r="D407" s="458"/>
      <c r="E407" s="458"/>
      <c r="F407" s="458"/>
      <c r="G407" s="458"/>
      <c r="H407" s="458"/>
      <c r="I407" s="458"/>
      <c r="J407" s="458"/>
      <c r="K407" s="458"/>
      <c r="L407" s="458"/>
      <c r="M407" s="458"/>
      <c r="N407" s="458"/>
      <c r="O407" s="458"/>
      <c r="P407" s="458"/>
      <c r="Q407" s="458"/>
      <c r="R407" s="458"/>
      <c r="S407" s="458"/>
      <c r="T407" s="458"/>
      <c r="U407" s="458"/>
      <c r="V407" s="458"/>
      <c r="W407" s="458"/>
    </row>
    <row r="408" spans="1:23" ht="15.75" customHeight="1">
      <c r="A408" s="458"/>
      <c r="B408" s="458"/>
      <c r="C408" s="458"/>
      <c r="D408" s="458"/>
      <c r="E408" s="458"/>
      <c r="F408" s="458"/>
      <c r="G408" s="458"/>
      <c r="H408" s="458"/>
      <c r="I408" s="458"/>
      <c r="J408" s="458"/>
      <c r="K408" s="458"/>
      <c r="L408" s="458"/>
      <c r="M408" s="458"/>
      <c r="N408" s="458"/>
      <c r="O408" s="458"/>
      <c r="P408" s="458"/>
      <c r="Q408" s="458"/>
      <c r="R408" s="458"/>
      <c r="S408" s="458"/>
      <c r="T408" s="458"/>
      <c r="U408" s="458"/>
      <c r="V408" s="458"/>
      <c r="W408" s="458"/>
    </row>
    <row r="409" spans="1:23" ht="15.75" customHeight="1">
      <c r="A409" s="458"/>
      <c r="B409" s="458"/>
      <c r="C409" s="458"/>
      <c r="D409" s="458"/>
      <c r="E409" s="458"/>
      <c r="F409" s="458"/>
      <c r="G409" s="458"/>
      <c r="H409" s="458"/>
      <c r="I409" s="458"/>
      <c r="J409" s="458"/>
      <c r="K409" s="458"/>
      <c r="L409" s="458"/>
      <c r="M409" s="458"/>
      <c r="N409" s="458"/>
      <c r="O409" s="458"/>
      <c r="P409" s="458"/>
      <c r="Q409" s="458"/>
      <c r="R409" s="458"/>
      <c r="S409" s="458"/>
      <c r="T409" s="458"/>
      <c r="U409" s="458"/>
      <c r="V409" s="458"/>
      <c r="W409" s="458"/>
    </row>
    <row r="410" spans="1:23" ht="15.75" customHeight="1">
      <c r="A410" s="458"/>
      <c r="B410" s="458"/>
      <c r="C410" s="458"/>
      <c r="D410" s="458"/>
      <c r="E410" s="458"/>
      <c r="F410" s="458"/>
      <c r="G410" s="458"/>
      <c r="H410" s="458"/>
      <c r="I410" s="458"/>
      <c r="J410" s="458"/>
      <c r="K410" s="458"/>
      <c r="L410" s="458"/>
      <c r="M410" s="458"/>
      <c r="N410" s="458"/>
      <c r="O410" s="458"/>
      <c r="P410" s="458"/>
      <c r="Q410" s="458"/>
      <c r="R410" s="458"/>
      <c r="S410" s="458"/>
      <c r="T410" s="458"/>
      <c r="U410" s="458"/>
      <c r="V410" s="458"/>
      <c r="W410" s="458"/>
    </row>
    <row r="411" spans="1:23" ht="15.75" customHeight="1">
      <c r="A411" s="458"/>
      <c r="B411" s="458"/>
      <c r="C411" s="458"/>
      <c r="D411" s="458"/>
      <c r="E411" s="458"/>
      <c r="F411" s="458"/>
      <c r="G411" s="458"/>
      <c r="H411" s="458"/>
      <c r="I411" s="458"/>
      <c r="J411" s="458"/>
      <c r="K411" s="458"/>
      <c r="L411" s="458"/>
      <c r="M411" s="458"/>
      <c r="N411" s="458"/>
      <c r="O411" s="458"/>
      <c r="P411" s="458"/>
      <c r="Q411" s="458"/>
      <c r="R411" s="458"/>
      <c r="S411" s="458"/>
      <c r="T411" s="458"/>
      <c r="U411" s="458"/>
      <c r="V411" s="458"/>
      <c r="W411" s="458"/>
    </row>
    <row r="412" spans="1:23" ht="15.75" customHeight="1">
      <c r="A412" s="458"/>
      <c r="B412" s="458"/>
      <c r="C412" s="458"/>
      <c r="D412" s="458"/>
      <c r="E412" s="458"/>
      <c r="F412" s="458"/>
      <c r="G412" s="458"/>
      <c r="H412" s="458"/>
      <c r="I412" s="458"/>
      <c r="J412" s="458"/>
      <c r="K412" s="458"/>
      <c r="L412" s="458"/>
      <c r="M412" s="458"/>
      <c r="N412" s="458"/>
      <c r="O412" s="458"/>
      <c r="P412" s="458"/>
      <c r="Q412" s="458"/>
      <c r="R412" s="458"/>
      <c r="S412" s="458"/>
      <c r="T412" s="458"/>
      <c r="U412" s="458"/>
      <c r="V412" s="458"/>
      <c r="W412" s="458"/>
    </row>
    <row r="413" spans="1:23" ht="15.75" customHeight="1">
      <c r="A413" s="458"/>
      <c r="B413" s="458"/>
      <c r="C413" s="458"/>
      <c r="D413" s="458"/>
      <c r="E413" s="458"/>
      <c r="F413" s="458"/>
      <c r="G413" s="458"/>
      <c r="H413" s="458"/>
      <c r="I413" s="458"/>
      <c r="J413" s="458"/>
      <c r="K413" s="458"/>
      <c r="L413" s="458"/>
      <c r="M413" s="458"/>
      <c r="N413" s="458"/>
      <c r="O413" s="458"/>
      <c r="P413" s="458"/>
      <c r="Q413" s="458"/>
      <c r="R413" s="458"/>
      <c r="S413" s="458"/>
      <c r="T413" s="458"/>
      <c r="U413" s="458"/>
      <c r="V413" s="458"/>
      <c r="W413" s="458"/>
    </row>
    <row r="414" spans="1:23" ht="15.75" customHeight="1">
      <c r="A414" s="458"/>
      <c r="B414" s="458"/>
      <c r="C414" s="458"/>
      <c r="D414" s="458"/>
      <c r="E414" s="458"/>
      <c r="F414" s="458"/>
      <c r="G414" s="458"/>
      <c r="H414" s="458"/>
      <c r="I414" s="458"/>
      <c r="J414" s="458"/>
      <c r="K414" s="458"/>
      <c r="L414" s="458"/>
      <c r="M414" s="458"/>
      <c r="N414" s="458"/>
      <c r="O414" s="458"/>
      <c r="P414" s="458"/>
      <c r="Q414" s="458"/>
      <c r="R414" s="458"/>
      <c r="S414" s="458"/>
      <c r="T414" s="458"/>
      <c r="U414" s="458"/>
      <c r="V414" s="458"/>
      <c r="W414" s="458"/>
    </row>
    <row r="415" spans="1:23" ht="15.75" customHeight="1">
      <c r="A415" s="458"/>
      <c r="B415" s="458"/>
      <c r="C415" s="458"/>
      <c r="D415" s="458"/>
      <c r="E415" s="458"/>
      <c r="F415" s="458"/>
      <c r="G415" s="458"/>
      <c r="H415" s="458"/>
      <c r="I415" s="458"/>
      <c r="J415" s="458"/>
      <c r="K415" s="458"/>
      <c r="L415" s="458"/>
      <c r="M415" s="458"/>
      <c r="N415" s="458"/>
      <c r="O415" s="458"/>
      <c r="P415" s="458"/>
      <c r="Q415" s="458"/>
      <c r="R415" s="458"/>
      <c r="S415" s="458"/>
      <c r="T415" s="458"/>
      <c r="U415" s="458"/>
      <c r="V415" s="458"/>
      <c r="W415" s="458"/>
    </row>
    <row r="416" spans="1:23" ht="15.75" customHeight="1">
      <c r="A416" s="458"/>
      <c r="B416" s="458"/>
      <c r="C416" s="458"/>
      <c r="D416" s="458"/>
      <c r="E416" s="458"/>
      <c r="F416" s="458"/>
      <c r="G416" s="458"/>
      <c r="H416" s="458"/>
      <c r="I416" s="458"/>
      <c r="J416" s="458"/>
      <c r="K416" s="458"/>
      <c r="L416" s="458"/>
      <c r="M416" s="458"/>
      <c r="N416" s="458"/>
      <c r="O416" s="458"/>
      <c r="P416" s="458"/>
      <c r="Q416" s="458"/>
      <c r="R416" s="458"/>
      <c r="S416" s="458"/>
      <c r="T416" s="458"/>
      <c r="U416" s="458"/>
      <c r="V416" s="458"/>
      <c r="W416" s="458"/>
    </row>
    <row r="417" spans="1:23" ht="15.75" customHeight="1">
      <c r="A417" s="458"/>
      <c r="B417" s="458"/>
      <c r="C417" s="458"/>
      <c r="D417" s="458"/>
      <c r="E417" s="458"/>
      <c r="F417" s="458"/>
      <c r="G417" s="458"/>
      <c r="H417" s="458"/>
      <c r="I417" s="458"/>
      <c r="J417" s="458"/>
      <c r="K417" s="458"/>
      <c r="L417" s="458"/>
      <c r="M417" s="458"/>
      <c r="N417" s="458"/>
      <c r="O417" s="458"/>
      <c r="P417" s="458"/>
      <c r="Q417" s="458"/>
      <c r="R417" s="458"/>
      <c r="S417" s="458"/>
      <c r="T417" s="458"/>
      <c r="U417" s="458"/>
      <c r="V417" s="458"/>
      <c r="W417" s="458"/>
    </row>
    <row r="418" spans="1:23" ht="15.75" customHeight="1">
      <c r="A418" s="458"/>
      <c r="B418" s="458"/>
      <c r="C418" s="458"/>
      <c r="D418" s="458"/>
      <c r="E418" s="458"/>
      <c r="F418" s="458"/>
      <c r="G418" s="458"/>
      <c r="H418" s="458"/>
      <c r="I418" s="458"/>
      <c r="J418" s="458"/>
      <c r="K418" s="458"/>
      <c r="L418" s="458"/>
      <c r="M418" s="458"/>
      <c r="N418" s="458"/>
      <c r="O418" s="458"/>
      <c r="P418" s="458"/>
      <c r="Q418" s="458"/>
      <c r="R418" s="458"/>
      <c r="S418" s="458"/>
      <c r="T418" s="458"/>
      <c r="U418" s="458"/>
      <c r="V418" s="458"/>
      <c r="W418" s="458"/>
    </row>
    <row r="419" spans="1:23" ht="15.75" customHeight="1">
      <c r="A419" s="458"/>
      <c r="B419" s="458"/>
      <c r="C419" s="458"/>
      <c r="D419" s="458"/>
      <c r="E419" s="458"/>
      <c r="F419" s="458"/>
      <c r="G419" s="458"/>
      <c r="H419" s="458"/>
      <c r="I419" s="458"/>
      <c r="J419" s="458"/>
      <c r="K419" s="458"/>
      <c r="L419" s="458"/>
      <c r="M419" s="458"/>
      <c r="N419" s="458"/>
      <c r="O419" s="458"/>
      <c r="P419" s="458"/>
      <c r="Q419" s="458"/>
      <c r="R419" s="458"/>
      <c r="S419" s="458"/>
      <c r="T419" s="458"/>
      <c r="U419" s="458"/>
      <c r="V419" s="458"/>
      <c r="W419" s="458"/>
    </row>
    <row r="420" spans="1:23" ht="15.75" customHeight="1">
      <c r="A420" s="458"/>
      <c r="B420" s="458"/>
      <c r="C420" s="458"/>
      <c r="D420" s="458"/>
      <c r="E420" s="458"/>
      <c r="F420" s="458"/>
      <c r="G420" s="458"/>
      <c r="H420" s="458"/>
      <c r="I420" s="458"/>
      <c r="J420" s="458"/>
      <c r="K420" s="458"/>
      <c r="L420" s="458"/>
      <c r="M420" s="458"/>
      <c r="N420" s="458"/>
      <c r="O420" s="458"/>
      <c r="P420" s="458"/>
      <c r="Q420" s="458"/>
      <c r="R420" s="458"/>
      <c r="S420" s="458"/>
      <c r="T420" s="458"/>
      <c r="U420" s="458"/>
      <c r="V420" s="458"/>
      <c r="W420" s="458"/>
    </row>
    <row r="421" spans="1:23" ht="15.75" customHeight="1">
      <c r="A421" s="458"/>
      <c r="B421" s="458"/>
      <c r="C421" s="458"/>
      <c r="D421" s="458"/>
      <c r="E421" s="458"/>
      <c r="F421" s="458"/>
      <c r="G421" s="458"/>
      <c r="H421" s="458"/>
      <c r="I421" s="458"/>
      <c r="J421" s="458"/>
      <c r="K421" s="458"/>
      <c r="L421" s="458"/>
      <c r="M421" s="458"/>
      <c r="N421" s="458"/>
      <c r="O421" s="458"/>
      <c r="P421" s="458"/>
      <c r="Q421" s="458"/>
      <c r="R421" s="458"/>
      <c r="S421" s="458"/>
      <c r="T421" s="458"/>
      <c r="U421" s="458"/>
      <c r="V421" s="458"/>
      <c r="W421" s="458"/>
    </row>
    <row r="422" spans="1:23" ht="15.75" customHeight="1">
      <c r="A422" s="458"/>
      <c r="B422" s="458"/>
      <c r="C422" s="458"/>
      <c r="D422" s="458"/>
      <c r="E422" s="458"/>
      <c r="F422" s="458"/>
      <c r="G422" s="458"/>
      <c r="H422" s="458"/>
      <c r="I422" s="458"/>
      <c r="J422" s="458"/>
      <c r="K422" s="458"/>
      <c r="L422" s="458"/>
      <c r="M422" s="458"/>
      <c r="N422" s="458"/>
      <c r="O422" s="458"/>
      <c r="P422" s="458"/>
      <c r="Q422" s="458"/>
      <c r="R422" s="458"/>
      <c r="S422" s="458"/>
      <c r="T422" s="458"/>
      <c r="U422" s="458"/>
      <c r="V422" s="458"/>
      <c r="W422" s="458"/>
    </row>
    <row r="423" spans="1:23" ht="15.75" customHeight="1">
      <c r="A423" s="458"/>
      <c r="B423" s="458"/>
      <c r="C423" s="458"/>
      <c r="D423" s="458"/>
      <c r="E423" s="458"/>
      <c r="F423" s="458"/>
      <c r="G423" s="458"/>
      <c r="H423" s="458"/>
      <c r="I423" s="458"/>
      <c r="J423" s="458"/>
      <c r="K423" s="458"/>
      <c r="L423" s="458"/>
      <c r="M423" s="458"/>
      <c r="N423" s="458"/>
      <c r="O423" s="458"/>
      <c r="P423" s="458"/>
      <c r="Q423" s="458"/>
      <c r="R423" s="458"/>
      <c r="S423" s="458"/>
      <c r="T423" s="458"/>
      <c r="U423" s="458"/>
      <c r="V423" s="458"/>
      <c r="W423" s="458"/>
    </row>
    <row r="424" spans="1:23" ht="15.75" customHeight="1">
      <c r="A424" s="458"/>
      <c r="B424" s="458"/>
      <c r="C424" s="458"/>
      <c r="D424" s="458"/>
      <c r="E424" s="458"/>
      <c r="F424" s="458"/>
      <c r="G424" s="458"/>
      <c r="H424" s="458"/>
      <c r="I424" s="458"/>
      <c r="J424" s="458"/>
      <c r="K424" s="458"/>
      <c r="L424" s="458"/>
      <c r="M424" s="458"/>
      <c r="N424" s="458"/>
      <c r="O424" s="458"/>
      <c r="P424" s="458"/>
      <c r="Q424" s="458"/>
      <c r="R424" s="458"/>
      <c r="S424" s="458"/>
      <c r="T424" s="458"/>
      <c r="U424" s="458"/>
      <c r="V424" s="458"/>
      <c r="W424" s="458"/>
    </row>
    <row r="425" spans="1:23" ht="15.75" customHeight="1">
      <c r="A425" s="458"/>
      <c r="B425" s="458"/>
      <c r="C425" s="458"/>
      <c r="D425" s="458"/>
      <c r="E425" s="458"/>
      <c r="F425" s="458"/>
      <c r="G425" s="458"/>
      <c r="H425" s="458"/>
      <c r="I425" s="458"/>
      <c r="J425" s="458"/>
      <c r="K425" s="458"/>
      <c r="L425" s="458"/>
      <c r="M425" s="458"/>
      <c r="N425" s="458"/>
      <c r="O425" s="458"/>
      <c r="P425" s="458"/>
      <c r="Q425" s="458"/>
      <c r="R425" s="458"/>
      <c r="S425" s="458"/>
      <c r="T425" s="458"/>
      <c r="U425" s="458"/>
      <c r="V425" s="458"/>
      <c r="W425" s="458"/>
    </row>
    <row r="426" spans="1:23" ht="15.75" customHeight="1">
      <c r="A426" s="458"/>
      <c r="B426" s="458"/>
      <c r="C426" s="458"/>
      <c r="D426" s="458"/>
      <c r="E426" s="458"/>
      <c r="F426" s="458"/>
      <c r="G426" s="458"/>
      <c r="H426" s="458"/>
      <c r="I426" s="458"/>
      <c r="J426" s="458"/>
      <c r="K426" s="458"/>
      <c r="L426" s="458"/>
      <c r="M426" s="458"/>
      <c r="N426" s="458"/>
      <c r="O426" s="458"/>
      <c r="P426" s="458"/>
      <c r="Q426" s="458"/>
      <c r="R426" s="458"/>
      <c r="S426" s="458"/>
      <c r="T426" s="458"/>
      <c r="U426" s="458"/>
      <c r="V426" s="458"/>
      <c r="W426" s="458"/>
    </row>
    <row r="427" spans="1:23" ht="15.75" customHeight="1">
      <c r="A427" s="458"/>
      <c r="B427" s="458"/>
      <c r="C427" s="458"/>
      <c r="D427" s="458"/>
      <c r="E427" s="458"/>
      <c r="F427" s="458"/>
      <c r="G427" s="458"/>
      <c r="H427" s="458"/>
      <c r="I427" s="458"/>
      <c r="J427" s="458"/>
      <c r="K427" s="458"/>
      <c r="L427" s="458"/>
      <c r="M427" s="458"/>
      <c r="N427" s="458"/>
      <c r="O427" s="458"/>
      <c r="P427" s="458"/>
      <c r="Q427" s="458"/>
      <c r="R427" s="458"/>
      <c r="S427" s="458"/>
      <c r="T427" s="458"/>
      <c r="U427" s="458"/>
      <c r="V427" s="458"/>
      <c r="W427" s="458"/>
    </row>
    <row r="428" spans="1:23" ht="15.75" customHeight="1">
      <c r="A428" s="458"/>
      <c r="B428" s="458"/>
      <c r="C428" s="458"/>
      <c r="D428" s="458"/>
      <c r="E428" s="458"/>
      <c r="F428" s="458"/>
      <c r="G428" s="458"/>
      <c r="H428" s="458"/>
      <c r="I428" s="458"/>
      <c r="J428" s="458"/>
      <c r="K428" s="458"/>
      <c r="L428" s="458"/>
      <c r="M428" s="458"/>
      <c r="N428" s="458"/>
      <c r="O428" s="458"/>
      <c r="P428" s="458"/>
      <c r="Q428" s="458"/>
      <c r="R428" s="458"/>
      <c r="S428" s="458"/>
      <c r="T428" s="458"/>
      <c r="U428" s="458"/>
      <c r="V428" s="458"/>
      <c r="W428" s="458"/>
    </row>
    <row r="429" spans="1:23" ht="15.75" customHeight="1">
      <c r="A429" s="458"/>
      <c r="B429" s="458"/>
      <c r="C429" s="458"/>
      <c r="D429" s="458"/>
      <c r="E429" s="458"/>
      <c r="F429" s="458"/>
      <c r="G429" s="458"/>
      <c r="H429" s="458"/>
      <c r="I429" s="458"/>
      <c r="J429" s="458"/>
      <c r="K429" s="458"/>
      <c r="L429" s="458"/>
      <c r="M429" s="458"/>
      <c r="N429" s="458"/>
      <c r="O429" s="458"/>
      <c r="P429" s="458"/>
      <c r="Q429" s="458"/>
      <c r="R429" s="458"/>
      <c r="S429" s="458"/>
      <c r="T429" s="458"/>
      <c r="U429" s="458"/>
      <c r="V429" s="458"/>
      <c r="W429" s="458"/>
    </row>
    <row r="430" spans="1:23" ht="15.75" customHeight="1">
      <c r="A430" s="458"/>
      <c r="B430" s="458"/>
      <c r="C430" s="458"/>
      <c r="D430" s="458"/>
      <c r="E430" s="458"/>
      <c r="F430" s="458"/>
      <c r="G430" s="458"/>
      <c r="H430" s="458"/>
      <c r="I430" s="458"/>
      <c r="J430" s="458"/>
      <c r="K430" s="458"/>
      <c r="L430" s="458"/>
      <c r="M430" s="458"/>
      <c r="N430" s="458"/>
      <c r="O430" s="458"/>
      <c r="P430" s="458"/>
      <c r="Q430" s="458"/>
      <c r="R430" s="458"/>
      <c r="S430" s="458"/>
      <c r="T430" s="458"/>
      <c r="U430" s="458"/>
      <c r="V430" s="458"/>
      <c r="W430" s="458"/>
    </row>
    <row r="431" spans="1:23" ht="15.75" customHeight="1">
      <c r="A431" s="458"/>
      <c r="B431" s="458"/>
      <c r="C431" s="458"/>
      <c r="D431" s="458"/>
      <c r="E431" s="458"/>
      <c r="F431" s="458"/>
      <c r="G431" s="458"/>
      <c r="H431" s="458"/>
      <c r="I431" s="458"/>
      <c r="J431" s="458"/>
      <c r="K431" s="458"/>
      <c r="L431" s="458"/>
      <c r="M431" s="458"/>
      <c r="N431" s="458"/>
      <c r="O431" s="458"/>
      <c r="P431" s="458"/>
      <c r="Q431" s="458"/>
      <c r="R431" s="458"/>
      <c r="S431" s="458"/>
      <c r="T431" s="458"/>
      <c r="U431" s="458"/>
      <c r="V431" s="458"/>
      <c r="W431" s="458"/>
    </row>
    <row r="432" spans="1:23" ht="15.75" customHeight="1">
      <c r="A432" s="458"/>
      <c r="B432" s="458"/>
      <c r="C432" s="458"/>
      <c r="D432" s="458"/>
      <c r="E432" s="458"/>
      <c r="F432" s="458"/>
      <c r="G432" s="458"/>
      <c r="H432" s="458"/>
      <c r="I432" s="458"/>
      <c r="J432" s="458"/>
      <c r="K432" s="458"/>
      <c r="L432" s="458"/>
      <c r="M432" s="458"/>
      <c r="N432" s="458"/>
      <c r="O432" s="458"/>
      <c r="P432" s="458"/>
      <c r="Q432" s="458"/>
      <c r="R432" s="458"/>
      <c r="S432" s="458"/>
      <c r="T432" s="458"/>
      <c r="U432" s="458"/>
      <c r="V432" s="458"/>
      <c r="W432" s="458"/>
    </row>
    <row r="433" spans="1:23" ht="15.75" customHeight="1">
      <c r="A433" s="458"/>
      <c r="B433" s="458"/>
      <c r="C433" s="458"/>
      <c r="D433" s="458"/>
      <c r="E433" s="458"/>
      <c r="F433" s="458"/>
      <c r="G433" s="458"/>
      <c r="H433" s="458"/>
      <c r="I433" s="458"/>
      <c r="J433" s="458"/>
      <c r="K433" s="458"/>
      <c r="L433" s="458"/>
      <c r="M433" s="458"/>
      <c r="N433" s="458"/>
      <c r="O433" s="458"/>
      <c r="P433" s="458"/>
      <c r="Q433" s="458"/>
      <c r="R433" s="458"/>
      <c r="S433" s="458"/>
      <c r="T433" s="458"/>
      <c r="U433" s="458"/>
      <c r="V433" s="458"/>
      <c r="W433" s="458"/>
    </row>
    <row r="434" spans="1:23" ht="15.75" customHeight="1">
      <c r="A434" s="458"/>
      <c r="B434" s="458"/>
      <c r="C434" s="458"/>
      <c r="D434" s="458"/>
      <c r="E434" s="458"/>
      <c r="F434" s="458"/>
      <c r="G434" s="458"/>
      <c r="H434" s="458"/>
      <c r="I434" s="458"/>
      <c r="J434" s="458"/>
      <c r="K434" s="458"/>
      <c r="L434" s="458"/>
      <c r="M434" s="458"/>
      <c r="N434" s="458"/>
      <c r="O434" s="458"/>
      <c r="P434" s="458"/>
      <c r="Q434" s="458"/>
      <c r="R434" s="458"/>
      <c r="S434" s="458"/>
      <c r="T434" s="458"/>
      <c r="U434" s="458"/>
      <c r="V434" s="458"/>
      <c r="W434" s="458"/>
    </row>
    <row r="435" spans="1:23" ht="15.75" customHeight="1">
      <c r="A435" s="458"/>
      <c r="B435" s="458"/>
      <c r="C435" s="458"/>
      <c r="D435" s="458"/>
      <c r="E435" s="458"/>
      <c r="F435" s="458"/>
      <c r="G435" s="458"/>
      <c r="H435" s="458"/>
      <c r="I435" s="458"/>
      <c r="J435" s="458"/>
      <c r="K435" s="458"/>
      <c r="L435" s="458"/>
      <c r="M435" s="458"/>
      <c r="N435" s="458"/>
      <c r="O435" s="458"/>
      <c r="P435" s="458"/>
      <c r="Q435" s="458"/>
      <c r="R435" s="458"/>
      <c r="S435" s="458"/>
      <c r="T435" s="458"/>
      <c r="U435" s="458"/>
      <c r="V435" s="458"/>
      <c r="W435" s="458"/>
    </row>
    <row r="436" spans="1:23" ht="15.75" customHeight="1">
      <c r="A436" s="458"/>
      <c r="B436" s="458"/>
      <c r="C436" s="458"/>
      <c r="D436" s="458"/>
      <c r="E436" s="458"/>
      <c r="F436" s="458"/>
      <c r="G436" s="458"/>
      <c r="H436" s="458"/>
      <c r="I436" s="458"/>
      <c r="J436" s="458"/>
      <c r="K436" s="458"/>
      <c r="L436" s="458"/>
      <c r="M436" s="458"/>
      <c r="N436" s="458"/>
      <c r="O436" s="458"/>
      <c r="P436" s="458"/>
      <c r="Q436" s="458"/>
      <c r="R436" s="458"/>
      <c r="S436" s="458"/>
      <c r="T436" s="458"/>
      <c r="U436" s="458"/>
      <c r="V436" s="458"/>
      <c r="W436" s="458"/>
    </row>
    <row r="437" spans="1:23" ht="15.75" customHeight="1">
      <c r="A437" s="458"/>
      <c r="B437" s="458"/>
      <c r="C437" s="458"/>
      <c r="D437" s="458"/>
      <c r="E437" s="458"/>
      <c r="F437" s="458"/>
      <c r="G437" s="458"/>
      <c r="H437" s="458"/>
      <c r="I437" s="458"/>
      <c r="J437" s="458"/>
      <c r="K437" s="458"/>
      <c r="L437" s="458"/>
      <c r="M437" s="458"/>
      <c r="N437" s="458"/>
      <c r="O437" s="458"/>
      <c r="P437" s="458"/>
      <c r="Q437" s="458"/>
      <c r="R437" s="458"/>
      <c r="S437" s="458"/>
      <c r="T437" s="458"/>
      <c r="U437" s="458"/>
      <c r="V437" s="458"/>
      <c r="W437" s="458"/>
    </row>
    <row r="438" spans="1:23" ht="15.75" customHeight="1">
      <c r="A438" s="458"/>
      <c r="B438" s="458"/>
      <c r="C438" s="458"/>
      <c r="D438" s="458"/>
      <c r="E438" s="458"/>
      <c r="F438" s="458"/>
      <c r="G438" s="458"/>
      <c r="H438" s="458"/>
      <c r="I438" s="458"/>
      <c r="J438" s="458"/>
      <c r="K438" s="458"/>
      <c r="L438" s="458"/>
      <c r="M438" s="458"/>
      <c r="N438" s="458"/>
      <c r="O438" s="458"/>
      <c r="P438" s="458"/>
      <c r="Q438" s="458"/>
      <c r="R438" s="458"/>
      <c r="S438" s="458"/>
      <c r="T438" s="458"/>
      <c r="U438" s="458"/>
      <c r="V438" s="458"/>
      <c r="W438" s="458"/>
    </row>
    <row r="439" spans="1:23" ht="15.75" customHeight="1">
      <c r="A439" s="458"/>
      <c r="B439" s="458"/>
      <c r="C439" s="458"/>
      <c r="D439" s="458"/>
      <c r="E439" s="458"/>
      <c r="F439" s="458"/>
      <c r="G439" s="458"/>
      <c r="H439" s="458"/>
      <c r="I439" s="458"/>
      <c r="J439" s="458"/>
      <c r="K439" s="458"/>
      <c r="L439" s="458"/>
      <c r="M439" s="458"/>
      <c r="N439" s="458"/>
      <c r="O439" s="458"/>
      <c r="P439" s="458"/>
      <c r="Q439" s="458"/>
      <c r="R439" s="458"/>
      <c r="S439" s="458"/>
      <c r="T439" s="458"/>
      <c r="U439" s="458"/>
      <c r="V439" s="458"/>
      <c r="W439" s="458"/>
    </row>
    <row r="440" spans="1:23" ht="15.75" customHeight="1">
      <c r="A440" s="458"/>
      <c r="B440" s="458"/>
      <c r="C440" s="458"/>
      <c r="D440" s="458"/>
      <c r="E440" s="458"/>
      <c r="F440" s="458"/>
      <c r="G440" s="458"/>
      <c r="H440" s="458"/>
      <c r="I440" s="458"/>
      <c r="J440" s="458"/>
      <c r="K440" s="458"/>
      <c r="L440" s="458"/>
      <c r="M440" s="458"/>
      <c r="N440" s="458"/>
      <c r="O440" s="458"/>
      <c r="P440" s="458"/>
      <c r="Q440" s="458"/>
      <c r="R440" s="458"/>
      <c r="S440" s="458"/>
      <c r="T440" s="458"/>
      <c r="U440" s="458"/>
      <c r="V440" s="458"/>
      <c r="W440" s="458"/>
    </row>
    <row r="441" spans="1:23" ht="15.75" customHeight="1">
      <c r="A441" s="458"/>
      <c r="B441" s="458"/>
      <c r="C441" s="458"/>
      <c r="D441" s="458"/>
      <c r="E441" s="458"/>
      <c r="F441" s="458"/>
      <c r="G441" s="458"/>
      <c r="H441" s="458"/>
      <c r="I441" s="458"/>
      <c r="J441" s="458"/>
      <c r="K441" s="458"/>
      <c r="L441" s="458"/>
      <c r="M441" s="458"/>
      <c r="N441" s="458"/>
      <c r="O441" s="458"/>
      <c r="P441" s="458"/>
      <c r="Q441" s="458"/>
      <c r="R441" s="458"/>
      <c r="S441" s="458"/>
      <c r="T441" s="458"/>
      <c r="U441" s="458"/>
      <c r="V441" s="458"/>
      <c r="W441" s="458"/>
    </row>
    <row r="442" spans="1:23" ht="15.75" customHeight="1">
      <c r="A442" s="458"/>
      <c r="B442" s="458"/>
      <c r="C442" s="458"/>
      <c r="D442" s="458"/>
      <c r="E442" s="458"/>
      <c r="F442" s="458"/>
      <c r="G442" s="458"/>
      <c r="H442" s="458"/>
      <c r="I442" s="458"/>
      <c r="J442" s="458"/>
      <c r="K442" s="458"/>
      <c r="L442" s="458"/>
      <c r="M442" s="458"/>
      <c r="N442" s="458"/>
      <c r="O442" s="458"/>
      <c r="P442" s="458"/>
      <c r="Q442" s="458"/>
      <c r="R442" s="458"/>
      <c r="S442" s="458"/>
      <c r="T442" s="458"/>
      <c r="U442" s="458"/>
      <c r="V442" s="458"/>
      <c r="W442" s="458"/>
    </row>
    <row r="443" spans="1:23" ht="15.75" customHeight="1">
      <c r="A443" s="458"/>
      <c r="B443" s="458"/>
      <c r="C443" s="458"/>
      <c r="D443" s="458"/>
      <c r="E443" s="458"/>
      <c r="F443" s="458"/>
      <c r="G443" s="458"/>
      <c r="H443" s="458"/>
      <c r="I443" s="458"/>
      <c r="J443" s="458"/>
      <c r="K443" s="458"/>
      <c r="L443" s="458"/>
      <c r="M443" s="458"/>
      <c r="N443" s="458"/>
      <c r="O443" s="458"/>
      <c r="P443" s="458"/>
      <c r="Q443" s="458"/>
      <c r="R443" s="458"/>
      <c r="S443" s="458"/>
      <c r="T443" s="458"/>
      <c r="U443" s="458"/>
      <c r="V443" s="458"/>
      <c r="W443" s="458"/>
    </row>
    <row r="444" spans="1:23" ht="15.75" customHeight="1">
      <c r="A444" s="458"/>
      <c r="B444" s="458"/>
      <c r="C444" s="458"/>
      <c r="D444" s="458"/>
      <c r="E444" s="458"/>
      <c r="F444" s="458"/>
      <c r="G444" s="458"/>
      <c r="H444" s="458"/>
      <c r="I444" s="458"/>
      <c r="J444" s="458"/>
      <c r="K444" s="458"/>
      <c r="L444" s="458"/>
      <c r="M444" s="458"/>
      <c r="N444" s="458"/>
      <c r="O444" s="458"/>
      <c r="P444" s="458"/>
      <c r="Q444" s="458"/>
      <c r="R444" s="458"/>
      <c r="S444" s="458"/>
      <c r="T444" s="458"/>
      <c r="U444" s="458"/>
      <c r="V444" s="458"/>
      <c r="W444" s="458"/>
    </row>
    <row r="445" spans="1:23" ht="15.75" customHeight="1">
      <c r="A445" s="458"/>
      <c r="B445" s="458"/>
      <c r="C445" s="458"/>
      <c r="D445" s="458"/>
      <c r="E445" s="458"/>
      <c r="F445" s="458"/>
      <c r="G445" s="458"/>
      <c r="H445" s="458"/>
      <c r="I445" s="458"/>
      <c r="J445" s="458"/>
      <c r="K445" s="458"/>
      <c r="L445" s="458"/>
      <c r="M445" s="458"/>
      <c r="N445" s="458"/>
      <c r="O445" s="458"/>
      <c r="P445" s="458"/>
      <c r="Q445" s="458"/>
      <c r="R445" s="458"/>
      <c r="S445" s="458"/>
      <c r="T445" s="458"/>
      <c r="U445" s="458"/>
      <c r="V445" s="458"/>
      <c r="W445" s="458"/>
    </row>
    <row r="446" spans="1:23" ht="15.75" customHeight="1">
      <c r="A446" s="458"/>
      <c r="B446" s="458"/>
      <c r="C446" s="458"/>
      <c r="D446" s="458"/>
      <c r="E446" s="458"/>
      <c r="F446" s="458"/>
      <c r="G446" s="458"/>
      <c r="H446" s="458"/>
      <c r="I446" s="458"/>
      <c r="J446" s="458"/>
      <c r="K446" s="458"/>
      <c r="L446" s="458"/>
      <c r="M446" s="458"/>
      <c r="N446" s="458"/>
      <c r="O446" s="458"/>
      <c r="P446" s="458"/>
      <c r="Q446" s="458"/>
      <c r="R446" s="458"/>
      <c r="S446" s="458"/>
      <c r="T446" s="458"/>
      <c r="U446" s="458"/>
      <c r="V446" s="458"/>
      <c r="W446" s="458"/>
    </row>
    <row r="447" spans="1:23" ht="15.75" customHeight="1">
      <c r="A447" s="458"/>
      <c r="B447" s="458"/>
      <c r="C447" s="458"/>
      <c r="D447" s="458"/>
      <c r="E447" s="458"/>
      <c r="F447" s="458"/>
      <c r="G447" s="458"/>
      <c r="H447" s="458"/>
      <c r="I447" s="458"/>
      <c r="J447" s="458"/>
      <c r="K447" s="458"/>
      <c r="L447" s="458"/>
      <c r="M447" s="458"/>
      <c r="N447" s="458"/>
      <c r="O447" s="458"/>
      <c r="P447" s="458"/>
      <c r="Q447" s="458"/>
      <c r="R447" s="458"/>
      <c r="S447" s="458"/>
      <c r="T447" s="458"/>
      <c r="U447" s="458"/>
      <c r="V447" s="458"/>
      <c r="W447" s="458"/>
    </row>
    <row r="448" spans="1:23" ht="15.75" customHeight="1">
      <c r="A448" s="458"/>
      <c r="B448" s="458"/>
      <c r="C448" s="458"/>
      <c r="D448" s="458"/>
      <c r="E448" s="458"/>
      <c r="F448" s="458"/>
      <c r="G448" s="458"/>
      <c r="H448" s="458"/>
      <c r="I448" s="458"/>
      <c r="J448" s="458"/>
      <c r="K448" s="458"/>
      <c r="L448" s="458"/>
      <c r="M448" s="458"/>
      <c r="N448" s="458"/>
      <c r="O448" s="458"/>
      <c r="P448" s="458"/>
      <c r="Q448" s="458"/>
      <c r="R448" s="458"/>
      <c r="S448" s="458"/>
      <c r="T448" s="458"/>
      <c r="U448" s="458"/>
      <c r="V448" s="458"/>
      <c r="W448" s="458"/>
    </row>
    <row r="449" spans="1:23" ht="15.75" customHeight="1">
      <c r="A449" s="458"/>
      <c r="B449" s="458"/>
      <c r="C449" s="458"/>
      <c r="D449" s="458"/>
      <c r="E449" s="458"/>
      <c r="F449" s="458"/>
      <c r="G449" s="458"/>
      <c r="H449" s="458"/>
      <c r="I449" s="458"/>
      <c r="J449" s="458"/>
      <c r="K449" s="458"/>
      <c r="L449" s="458"/>
      <c r="M449" s="458"/>
      <c r="N449" s="458"/>
      <c r="O449" s="458"/>
      <c r="P449" s="458"/>
      <c r="Q449" s="458"/>
      <c r="R449" s="458"/>
      <c r="S449" s="458"/>
      <c r="T449" s="458"/>
      <c r="U449" s="458"/>
      <c r="V449" s="458"/>
      <c r="W449" s="458"/>
    </row>
    <row r="450" spans="1:23" ht="15.75" customHeight="1">
      <c r="A450" s="458"/>
      <c r="B450" s="458"/>
      <c r="C450" s="458"/>
      <c r="D450" s="458"/>
      <c r="E450" s="458"/>
      <c r="F450" s="458"/>
      <c r="G450" s="458"/>
      <c r="H450" s="458"/>
      <c r="I450" s="458"/>
      <c r="J450" s="458"/>
      <c r="K450" s="458"/>
      <c r="L450" s="458"/>
      <c r="M450" s="458"/>
      <c r="N450" s="458"/>
      <c r="O450" s="458"/>
      <c r="P450" s="458"/>
      <c r="Q450" s="458"/>
      <c r="R450" s="458"/>
      <c r="S450" s="458"/>
      <c r="T450" s="458"/>
      <c r="U450" s="458"/>
      <c r="V450" s="458"/>
      <c r="W450" s="458"/>
    </row>
    <row r="451" spans="1:23" ht="15.75" customHeight="1">
      <c r="A451" s="458"/>
      <c r="B451" s="458"/>
      <c r="C451" s="458"/>
      <c r="D451" s="458"/>
      <c r="E451" s="458"/>
      <c r="F451" s="458"/>
      <c r="G451" s="458"/>
      <c r="H451" s="458"/>
      <c r="I451" s="458"/>
      <c r="J451" s="458"/>
      <c r="K451" s="458"/>
      <c r="L451" s="458"/>
      <c r="M451" s="458"/>
      <c r="N451" s="458"/>
      <c r="O451" s="458"/>
      <c r="P451" s="458"/>
      <c r="Q451" s="458"/>
      <c r="R451" s="458"/>
      <c r="S451" s="458"/>
      <c r="T451" s="458"/>
      <c r="U451" s="458"/>
      <c r="V451" s="458"/>
      <c r="W451" s="458"/>
    </row>
    <row r="452" spans="1:23" ht="15.75" customHeight="1">
      <c r="A452" s="458"/>
      <c r="B452" s="458"/>
      <c r="C452" s="458"/>
      <c r="D452" s="458"/>
      <c r="E452" s="458"/>
      <c r="F452" s="458"/>
      <c r="G452" s="458"/>
      <c r="H452" s="458"/>
      <c r="I452" s="458"/>
      <c r="J452" s="458"/>
      <c r="K452" s="458"/>
      <c r="L452" s="458"/>
      <c r="M452" s="458"/>
      <c r="N452" s="458"/>
      <c r="O452" s="458"/>
      <c r="P452" s="458"/>
      <c r="Q452" s="458"/>
      <c r="R452" s="458"/>
      <c r="S452" s="458"/>
      <c r="T452" s="458"/>
      <c r="U452" s="458"/>
      <c r="V452" s="458"/>
      <c r="W452" s="458"/>
    </row>
    <row r="453" spans="1:23" ht="15.75" customHeight="1">
      <c r="A453" s="458"/>
      <c r="B453" s="458"/>
      <c r="C453" s="458"/>
      <c r="D453" s="458"/>
      <c r="E453" s="458"/>
      <c r="F453" s="458"/>
      <c r="G453" s="458"/>
      <c r="H453" s="458"/>
      <c r="I453" s="458"/>
      <c r="J453" s="458"/>
      <c r="K453" s="458"/>
      <c r="L453" s="458"/>
      <c r="M453" s="458"/>
      <c r="N453" s="458"/>
      <c r="O453" s="458"/>
      <c r="P453" s="458"/>
      <c r="Q453" s="458"/>
      <c r="R453" s="458"/>
      <c r="S453" s="458"/>
      <c r="T453" s="458"/>
      <c r="U453" s="458"/>
      <c r="V453" s="458"/>
      <c r="W453" s="458"/>
    </row>
    <row r="454" spans="1:23" ht="15.75" customHeight="1">
      <c r="A454" s="458"/>
      <c r="B454" s="458"/>
      <c r="C454" s="458"/>
      <c r="D454" s="458"/>
      <c r="E454" s="458"/>
      <c r="F454" s="458"/>
      <c r="G454" s="458"/>
      <c r="H454" s="458"/>
      <c r="I454" s="458"/>
      <c r="J454" s="458"/>
      <c r="K454" s="458"/>
      <c r="L454" s="458"/>
      <c r="M454" s="458"/>
      <c r="N454" s="458"/>
      <c r="O454" s="458"/>
      <c r="P454" s="458"/>
      <c r="Q454" s="458"/>
      <c r="R454" s="458"/>
      <c r="S454" s="458"/>
      <c r="T454" s="458"/>
      <c r="U454" s="458"/>
      <c r="V454" s="458"/>
      <c r="W454" s="458"/>
    </row>
    <row r="455" spans="1:23" ht="15.75" customHeight="1">
      <c r="A455" s="458"/>
      <c r="B455" s="458"/>
      <c r="C455" s="458"/>
      <c r="D455" s="458"/>
      <c r="E455" s="458"/>
      <c r="F455" s="458"/>
      <c r="G455" s="458"/>
      <c r="H455" s="458"/>
      <c r="I455" s="458"/>
      <c r="J455" s="458"/>
      <c r="K455" s="458"/>
      <c r="L455" s="458"/>
      <c r="M455" s="458"/>
      <c r="N455" s="458"/>
      <c r="O455" s="458"/>
      <c r="P455" s="458"/>
      <c r="Q455" s="458"/>
      <c r="R455" s="458"/>
      <c r="S455" s="458"/>
      <c r="T455" s="458"/>
      <c r="U455" s="458"/>
      <c r="V455" s="458"/>
      <c r="W455" s="458"/>
    </row>
    <row r="456" spans="1:23" ht="15.75" customHeight="1">
      <c r="A456" s="458"/>
      <c r="B456" s="458"/>
      <c r="C456" s="458"/>
      <c r="D456" s="458"/>
      <c r="E456" s="458"/>
      <c r="F456" s="458"/>
      <c r="G456" s="458"/>
      <c r="H456" s="458"/>
      <c r="I456" s="458"/>
      <c r="J456" s="458"/>
      <c r="K456" s="458"/>
      <c r="L456" s="458"/>
      <c r="M456" s="458"/>
      <c r="N456" s="458"/>
      <c r="O456" s="458"/>
      <c r="P456" s="458"/>
      <c r="Q456" s="458"/>
      <c r="R456" s="458"/>
      <c r="S456" s="458"/>
      <c r="T456" s="458"/>
      <c r="U456" s="458"/>
      <c r="V456" s="458"/>
      <c r="W456" s="458"/>
    </row>
    <row r="457" spans="1:23" ht="15.75" customHeight="1">
      <c r="A457" s="458"/>
      <c r="B457" s="458"/>
      <c r="C457" s="458"/>
      <c r="D457" s="458"/>
      <c r="E457" s="458"/>
      <c r="F457" s="458"/>
      <c r="G457" s="458"/>
      <c r="H457" s="458"/>
      <c r="I457" s="458"/>
      <c r="J457" s="458"/>
      <c r="K457" s="458"/>
      <c r="L457" s="458"/>
      <c r="M457" s="458"/>
      <c r="N457" s="458"/>
      <c r="O457" s="458"/>
      <c r="P457" s="458"/>
      <c r="Q457" s="458"/>
      <c r="R457" s="458"/>
      <c r="S457" s="458"/>
      <c r="T457" s="458"/>
      <c r="U457" s="458"/>
      <c r="V457" s="458"/>
      <c r="W457" s="458"/>
    </row>
    <row r="458" spans="1:23" ht="15.75" customHeight="1">
      <c r="A458" s="458"/>
      <c r="B458" s="458"/>
      <c r="C458" s="458"/>
      <c r="D458" s="458"/>
      <c r="E458" s="458"/>
      <c r="F458" s="458"/>
      <c r="G458" s="458"/>
      <c r="H458" s="458"/>
      <c r="I458" s="458"/>
      <c r="J458" s="458"/>
      <c r="K458" s="458"/>
      <c r="L458" s="458"/>
      <c r="M458" s="458"/>
      <c r="N458" s="458"/>
      <c r="O458" s="458"/>
      <c r="P458" s="458"/>
      <c r="Q458" s="458"/>
      <c r="R458" s="458"/>
      <c r="S458" s="458"/>
      <c r="T458" s="458"/>
      <c r="U458" s="458"/>
      <c r="V458" s="458"/>
      <c r="W458" s="458"/>
    </row>
    <row r="459" spans="1:23" ht="15.75" customHeight="1">
      <c r="A459" s="458"/>
      <c r="B459" s="458"/>
      <c r="C459" s="458"/>
      <c r="D459" s="458"/>
      <c r="E459" s="458"/>
      <c r="F459" s="458"/>
      <c r="G459" s="458"/>
      <c r="H459" s="458"/>
      <c r="I459" s="458"/>
      <c r="J459" s="458"/>
      <c r="K459" s="458"/>
      <c r="L459" s="458"/>
      <c r="M459" s="458"/>
      <c r="N459" s="458"/>
      <c r="O459" s="458"/>
      <c r="P459" s="458"/>
      <c r="Q459" s="458"/>
      <c r="R459" s="458"/>
      <c r="S459" s="458"/>
      <c r="T459" s="458"/>
      <c r="U459" s="458"/>
      <c r="V459" s="458"/>
      <c r="W459" s="458"/>
    </row>
    <row r="460" spans="1:23" ht="15.75" customHeight="1">
      <c r="A460" s="458"/>
      <c r="B460" s="458"/>
      <c r="C460" s="458"/>
      <c r="D460" s="458"/>
      <c r="E460" s="458"/>
      <c r="F460" s="458"/>
      <c r="G460" s="458"/>
      <c r="H460" s="458"/>
      <c r="I460" s="458"/>
      <c r="J460" s="458"/>
      <c r="K460" s="458"/>
      <c r="L460" s="458"/>
      <c r="M460" s="458"/>
      <c r="N460" s="458"/>
      <c r="O460" s="458"/>
      <c r="P460" s="458"/>
      <c r="Q460" s="458"/>
      <c r="R460" s="458"/>
      <c r="S460" s="458"/>
      <c r="T460" s="458"/>
      <c r="U460" s="458"/>
      <c r="V460" s="458"/>
      <c r="W460" s="458"/>
    </row>
    <row r="461" spans="1:23" ht="15.75" customHeight="1">
      <c r="A461" s="458"/>
      <c r="B461" s="458"/>
      <c r="C461" s="458"/>
      <c r="D461" s="458"/>
      <c r="E461" s="458"/>
      <c r="F461" s="458"/>
      <c r="G461" s="458"/>
      <c r="H461" s="458"/>
      <c r="I461" s="458"/>
      <c r="J461" s="458"/>
      <c r="K461" s="458"/>
      <c r="L461" s="458"/>
      <c r="M461" s="458"/>
      <c r="N461" s="458"/>
      <c r="O461" s="458"/>
      <c r="P461" s="458"/>
      <c r="Q461" s="458"/>
      <c r="R461" s="458"/>
      <c r="S461" s="458"/>
      <c r="T461" s="458"/>
      <c r="U461" s="458"/>
      <c r="V461" s="458"/>
      <c r="W461" s="458"/>
    </row>
    <row r="462" spans="1:23" ht="15.75" customHeight="1">
      <c r="A462" s="458"/>
      <c r="B462" s="458"/>
      <c r="C462" s="458"/>
      <c r="D462" s="458"/>
      <c r="E462" s="458"/>
      <c r="F462" s="458"/>
      <c r="G462" s="458"/>
      <c r="H462" s="458"/>
      <c r="I462" s="458"/>
      <c r="J462" s="458"/>
      <c r="K462" s="458"/>
      <c r="L462" s="458"/>
      <c r="M462" s="458"/>
      <c r="N462" s="458"/>
      <c r="O462" s="458"/>
      <c r="P462" s="458"/>
      <c r="Q462" s="458"/>
      <c r="R462" s="458"/>
      <c r="S462" s="458"/>
      <c r="T462" s="458"/>
      <c r="U462" s="458"/>
      <c r="V462" s="458"/>
      <c r="W462" s="458"/>
    </row>
    <row r="463" spans="1:23" ht="15.75" customHeight="1">
      <c r="A463" s="458"/>
      <c r="B463" s="458"/>
      <c r="C463" s="458"/>
      <c r="D463" s="458"/>
      <c r="E463" s="458"/>
      <c r="F463" s="458"/>
      <c r="G463" s="458"/>
      <c r="H463" s="458"/>
      <c r="I463" s="458"/>
      <c r="J463" s="458"/>
      <c r="K463" s="458"/>
      <c r="L463" s="458"/>
      <c r="M463" s="458"/>
      <c r="N463" s="458"/>
      <c r="O463" s="458"/>
      <c r="P463" s="458"/>
      <c r="Q463" s="458"/>
      <c r="R463" s="458"/>
      <c r="S463" s="458"/>
      <c r="T463" s="458"/>
      <c r="U463" s="458"/>
      <c r="V463" s="458"/>
      <c r="W463" s="458"/>
    </row>
    <row r="464" spans="1:23" ht="15.75" customHeight="1">
      <c r="A464" s="458"/>
      <c r="B464" s="458"/>
      <c r="C464" s="458"/>
      <c r="D464" s="458"/>
      <c r="E464" s="458"/>
      <c r="F464" s="458"/>
      <c r="G464" s="458"/>
      <c r="H464" s="458"/>
      <c r="I464" s="458"/>
      <c r="J464" s="458"/>
      <c r="K464" s="458"/>
      <c r="L464" s="458"/>
      <c r="M464" s="458"/>
      <c r="N464" s="458"/>
      <c r="O464" s="458"/>
      <c r="P464" s="458"/>
      <c r="Q464" s="458"/>
      <c r="R464" s="458"/>
      <c r="S464" s="458"/>
      <c r="T464" s="458"/>
      <c r="U464" s="458"/>
      <c r="V464" s="458"/>
      <c r="W464" s="458"/>
    </row>
    <row r="465" spans="1:23" ht="15.75" customHeight="1">
      <c r="A465" s="458"/>
      <c r="B465" s="458"/>
      <c r="C465" s="458"/>
      <c r="D465" s="458"/>
      <c r="E465" s="458"/>
      <c r="F465" s="458"/>
      <c r="G465" s="458"/>
      <c r="H465" s="458"/>
      <c r="I465" s="458"/>
      <c r="J465" s="458"/>
      <c r="K465" s="458"/>
      <c r="L465" s="458"/>
      <c r="M465" s="458"/>
      <c r="N465" s="458"/>
      <c r="O465" s="458"/>
      <c r="P465" s="458"/>
      <c r="Q465" s="458"/>
      <c r="R465" s="458"/>
      <c r="S465" s="458"/>
      <c r="T465" s="458"/>
      <c r="U465" s="458"/>
      <c r="V465" s="458"/>
      <c r="W465" s="458"/>
    </row>
    <row r="466" spans="1:23" ht="15.75" customHeight="1">
      <c r="A466" s="458"/>
      <c r="B466" s="458"/>
      <c r="C466" s="458"/>
      <c r="D466" s="458"/>
      <c r="E466" s="458"/>
      <c r="F466" s="458"/>
      <c r="G466" s="458"/>
      <c r="H466" s="458"/>
      <c r="I466" s="458"/>
      <c r="J466" s="458"/>
      <c r="K466" s="458"/>
      <c r="L466" s="458"/>
      <c r="M466" s="458"/>
      <c r="N466" s="458"/>
      <c r="O466" s="458"/>
      <c r="P466" s="458"/>
      <c r="Q466" s="458"/>
      <c r="R466" s="458"/>
      <c r="S466" s="458"/>
      <c r="T466" s="458"/>
      <c r="U466" s="458"/>
      <c r="V466" s="458"/>
      <c r="W466" s="458"/>
    </row>
    <row r="467" spans="1:23" ht="15.75" customHeight="1">
      <c r="A467" s="458"/>
      <c r="B467" s="458"/>
      <c r="C467" s="458"/>
      <c r="D467" s="458"/>
      <c r="E467" s="458"/>
      <c r="F467" s="458"/>
      <c r="G467" s="458"/>
      <c r="H467" s="458"/>
      <c r="I467" s="458"/>
      <c r="J467" s="458"/>
      <c r="K467" s="458"/>
      <c r="L467" s="458"/>
      <c r="M467" s="458"/>
      <c r="N467" s="458"/>
      <c r="O467" s="458"/>
      <c r="P467" s="458"/>
      <c r="Q467" s="458"/>
      <c r="R467" s="458"/>
      <c r="S467" s="458"/>
      <c r="T467" s="458"/>
      <c r="U467" s="458"/>
      <c r="V467" s="458"/>
      <c r="W467" s="458"/>
    </row>
    <row r="468" spans="1:23" ht="15.75" customHeight="1">
      <c r="A468" s="458"/>
      <c r="B468" s="458"/>
      <c r="C468" s="458"/>
      <c r="D468" s="458"/>
      <c r="E468" s="458"/>
      <c r="F468" s="458"/>
      <c r="G468" s="458"/>
      <c r="H468" s="458"/>
      <c r="I468" s="458"/>
      <c r="J468" s="458"/>
      <c r="K468" s="458"/>
      <c r="L468" s="458"/>
      <c r="M468" s="458"/>
      <c r="N468" s="458"/>
      <c r="O468" s="458"/>
      <c r="P468" s="458"/>
      <c r="Q468" s="458"/>
      <c r="R468" s="458"/>
      <c r="S468" s="458"/>
      <c r="T468" s="458"/>
      <c r="U468" s="458"/>
      <c r="V468" s="458"/>
      <c r="W468" s="458"/>
    </row>
    <row r="469" spans="1:23" ht="15.75" customHeight="1">
      <c r="A469" s="458"/>
      <c r="B469" s="458"/>
      <c r="C469" s="458"/>
      <c r="D469" s="458"/>
      <c r="E469" s="458"/>
      <c r="F469" s="458"/>
      <c r="G469" s="458"/>
      <c r="H469" s="458"/>
      <c r="I469" s="458"/>
      <c r="J469" s="458"/>
      <c r="K469" s="458"/>
      <c r="L469" s="458"/>
      <c r="M469" s="458"/>
      <c r="N469" s="458"/>
      <c r="O469" s="458"/>
      <c r="P469" s="458"/>
      <c r="Q469" s="458"/>
      <c r="R469" s="458"/>
      <c r="S469" s="458"/>
      <c r="T469" s="458"/>
      <c r="U469" s="458"/>
      <c r="V469" s="458"/>
      <c r="W469" s="458"/>
    </row>
    <row r="470" spans="1:23" ht="15.75" customHeight="1">
      <c r="A470" s="458"/>
      <c r="B470" s="458"/>
      <c r="C470" s="458"/>
      <c r="D470" s="458"/>
      <c r="E470" s="458"/>
      <c r="F470" s="458"/>
      <c r="G470" s="458"/>
      <c r="H470" s="458"/>
      <c r="I470" s="458"/>
      <c r="J470" s="458"/>
      <c r="K470" s="458"/>
      <c r="L470" s="458"/>
      <c r="M470" s="458"/>
      <c r="N470" s="458"/>
      <c r="O470" s="458"/>
      <c r="P470" s="458"/>
      <c r="Q470" s="458"/>
      <c r="R470" s="458"/>
      <c r="S470" s="458"/>
      <c r="T470" s="458"/>
      <c r="U470" s="458"/>
      <c r="V470" s="458"/>
      <c r="W470" s="458"/>
    </row>
    <row r="471" spans="1:23" ht="15.75" customHeight="1">
      <c r="A471" s="458"/>
      <c r="B471" s="458"/>
      <c r="C471" s="458"/>
      <c r="D471" s="458"/>
      <c r="E471" s="458"/>
      <c r="F471" s="458"/>
      <c r="G471" s="458"/>
      <c r="H471" s="458"/>
      <c r="I471" s="458"/>
      <c r="J471" s="458"/>
      <c r="K471" s="458"/>
      <c r="L471" s="458"/>
      <c r="M471" s="458"/>
      <c r="N471" s="458"/>
      <c r="O471" s="458"/>
      <c r="P471" s="458"/>
      <c r="Q471" s="458"/>
      <c r="R471" s="458"/>
      <c r="S471" s="458"/>
      <c r="T471" s="458"/>
      <c r="U471" s="458"/>
      <c r="V471" s="458"/>
      <c r="W471" s="458"/>
    </row>
    <row r="472" spans="1:23" ht="15.75" customHeight="1">
      <c r="A472" s="458"/>
      <c r="B472" s="458"/>
      <c r="C472" s="458"/>
      <c r="D472" s="458"/>
      <c r="E472" s="458"/>
      <c r="F472" s="458"/>
      <c r="G472" s="458"/>
      <c r="H472" s="458"/>
      <c r="I472" s="458"/>
      <c r="J472" s="458"/>
      <c r="K472" s="458"/>
      <c r="L472" s="458"/>
      <c r="M472" s="458"/>
      <c r="N472" s="458"/>
      <c r="O472" s="458"/>
      <c r="P472" s="458"/>
      <c r="Q472" s="458"/>
      <c r="R472" s="458"/>
      <c r="S472" s="458"/>
      <c r="T472" s="458"/>
      <c r="U472" s="458"/>
      <c r="V472" s="458"/>
      <c r="W472" s="458"/>
    </row>
    <row r="473" spans="1:23" ht="15.75" customHeight="1">
      <c r="A473" s="458"/>
      <c r="B473" s="458"/>
      <c r="C473" s="458"/>
      <c r="D473" s="458"/>
      <c r="E473" s="458"/>
      <c r="F473" s="458"/>
      <c r="G473" s="458"/>
      <c r="H473" s="458"/>
      <c r="I473" s="458"/>
      <c r="J473" s="458"/>
      <c r="K473" s="458"/>
      <c r="L473" s="458"/>
      <c r="M473" s="458"/>
      <c r="N473" s="458"/>
      <c r="O473" s="458"/>
      <c r="P473" s="458"/>
      <c r="Q473" s="458"/>
      <c r="R473" s="458"/>
      <c r="S473" s="458"/>
      <c r="T473" s="458"/>
      <c r="U473" s="458"/>
      <c r="V473" s="458"/>
      <c r="W473" s="458"/>
    </row>
    <row r="474" spans="1:23" ht="15.75" customHeight="1">
      <c r="A474" s="458"/>
      <c r="B474" s="458"/>
      <c r="C474" s="458"/>
      <c r="D474" s="458"/>
      <c r="E474" s="458"/>
      <c r="F474" s="458"/>
      <c r="G474" s="458"/>
      <c r="H474" s="458"/>
      <c r="I474" s="458"/>
      <c r="J474" s="458"/>
      <c r="K474" s="458"/>
      <c r="L474" s="458"/>
      <c r="M474" s="458"/>
      <c r="N474" s="458"/>
      <c r="O474" s="458"/>
      <c r="P474" s="458"/>
      <c r="Q474" s="458"/>
      <c r="R474" s="458"/>
      <c r="S474" s="458"/>
      <c r="T474" s="458"/>
      <c r="U474" s="458"/>
      <c r="V474" s="458"/>
      <c r="W474" s="458"/>
    </row>
    <row r="475" spans="1:23" ht="15.75" customHeight="1">
      <c r="A475" s="458"/>
      <c r="B475" s="458"/>
      <c r="C475" s="458"/>
      <c r="D475" s="458"/>
      <c r="E475" s="458"/>
      <c r="F475" s="458"/>
      <c r="G475" s="458"/>
      <c r="H475" s="458"/>
      <c r="I475" s="458"/>
      <c r="J475" s="458"/>
      <c r="K475" s="458"/>
      <c r="L475" s="458"/>
      <c r="M475" s="458"/>
      <c r="N475" s="458"/>
      <c r="O475" s="458"/>
      <c r="P475" s="458"/>
      <c r="Q475" s="458"/>
      <c r="R475" s="458"/>
      <c r="S475" s="458"/>
      <c r="T475" s="458"/>
      <c r="U475" s="458"/>
      <c r="V475" s="458"/>
      <c r="W475" s="458"/>
    </row>
    <row r="476" spans="1:23" ht="15.75" customHeight="1">
      <c r="A476" s="458"/>
      <c r="B476" s="458"/>
      <c r="C476" s="458"/>
      <c r="D476" s="458"/>
      <c r="E476" s="458"/>
      <c r="F476" s="458"/>
      <c r="G476" s="458"/>
      <c r="H476" s="458"/>
      <c r="I476" s="458"/>
      <c r="J476" s="458"/>
      <c r="K476" s="458"/>
      <c r="L476" s="458"/>
      <c r="M476" s="458"/>
      <c r="N476" s="458"/>
      <c r="O476" s="458"/>
      <c r="P476" s="458"/>
      <c r="Q476" s="458"/>
      <c r="R476" s="458"/>
      <c r="S476" s="458"/>
      <c r="T476" s="458"/>
      <c r="U476" s="458"/>
      <c r="V476" s="458"/>
      <c r="W476" s="458"/>
    </row>
    <row r="477" spans="1:23" ht="15.75" customHeight="1">
      <c r="A477" s="458"/>
      <c r="B477" s="458"/>
      <c r="C477" s="458"/>
      <c r="D477" s="458"/>
      <c r="E477" s="458"/>
      <c r="F477" s="458"/>
      <c r="G477" s="458"/>
      <c r="H477" s="458"/>
      <c r="I477" s="458"/>
      <c r="J477" s="458"/>
      <c r="K477" s="458"/>
      <c r="L477" s="458"/>
      <c r="M477" s="458"/>
      <c r="N477" s="458"/>
      <c r="O477" s="458"/>
      <c r="P477" s="458"/>
      <c r="Q477" s="458"/>
      <c r="R477" s="458"/>
      <c r="S477" s="458"/>
      <c r="T477" s="458"/>
      <c r="U477" s="458"/>
      <c r="V477" s="458"/>
      <c r="W477" s="458"/>
    </row>
    <row r="478" spans="1:23" ht="15.75" customHeight="1">
      <c r="A478" s="458"/>
      <c r="B478" s="458"/>
      <c r="C478" s="458"/>
      <c r="D478" s="458"/>
      <c r="E478" s="458"/>
      <c r="F478" s="458"/>
      <c r="G478" s="458"/>
      <c r="H478" s="458"/>
      <c r="I478" s="458"/>
      <c r="J478" s="458"/>
      <c r="K478" s="458"/>
      <c r="L478" s="458"/>
      <c r="M478" s="458"/>
      <c r="N478" s="458"/>
      <c r="O478" s="458"/>
      <c r="P478" s="458"/>
      <c r="Q478" s="458"/>
      <c r="R478" s="458"/>
      <c r="S478" s="458"/>
      <c r="T478" s="458"/>
      <c r="U478" s="458"/>
      <c r="V478" s="458"/>
      <c r="W478" s="458"/>
    </row>
    <row r="479" spans="1:23" ht="15.75" customHeight="1">
      <c r="A479" s="458"/>
      <c r="B479" s="458"/>
      <c r="C479" s="458"/>
      <c r="D479" s="458"/>
      <c r="E479" s="458"/>
      <c r="F479" s="458"/>
      <c r="G479" s="458"/>
      <c r="H479" s="458"/>
      <c r="I479" s="458"/>
      <c r="J479" s="458"/>
      <c r="K479" s="458"/>
      <c r="L479" s="458"/>
      <c r="M479" s="458"/>
      <c r="N479" s="458"/>
      <c r="O479" s="458"/>
      <c r="P479" s="458"/>
      <c r="Q479" s="458"/>
      <c r="R479" s="458"/>
      <c r="S479" s="458"/>
      <c r="T479" s="458"/>
      <c r="U479" s="458"/>
      <c r="V479" s="458"/>
      <c r="W479" s="458"/>
    </row>
    <row r="480" spans="1:23" ht="15.75" customHeight="1">
      <c r="A480" s="458"/>
      <c r="B480" s="458"/>
      <c r="C480" s="458"/>
      <c r="D480" s="458"/>
      <c r="E480" s="458"/>
      <c r="F480" s="458"/>
      <c r="G480" s="458"/>
      <c r="H480" s="458"/>
      <c r="I480" s="458"/>
      <c r="J480" s="458"/>
      <c r="K480" s="458"/>
      <c r="L480" s="458"/>
      <c r="M480" s="458"/>
      <c r="N480" s="458"/>
      <c r="O480" s="458"/>
      <c r="P480" s="458"/>
      <c r="Q480" s="458"/>
      <c r="R480" s="458"/>
      <c r="S480" s="458"/>
      <c r="T480" s="458"/>
      <c r="U480" s="458"/>
      <c r="V480" s="458"/>
      <c r="W480" s="458"/>
    </row>
    <row r="481" spans="1:23" ht="15.75" customHeight="1">
      <c r="A481" s="458"/>
      <c r="B481" s="458"/>
      <c r="C481" s="458"/>
      <c r="D481" s="458"/>
      <c r="E481" s="458"/>
      <c r="F481" s="458"/>
      <c r="G481" s="458"/>
      <c r="H481" s="458"/>
      <c r="I481" s="458"/>
      <c r="J481" s="458"/>
      <c r="K481" s="458"/>
      <c r="L481" s="458"/>
      <c r="M481" s="458"/>
      <c r="N481" s="458"/>
      <c r="O481" s="458"/>
      <c r="P481" s="458"/>
      <c r="Q481" s="458"/>
      <c r="R481" s="458"/>
      <c r="S481" s="458"/>
      <c r="T481" s="458"/>
      <c r="U481" s="458"/>
      <c r="V481" s="458"/>
      <c r="W481" s="458"/>
    </row>
    <row r="482" spans="1:23" ht="15.75" customHeight="1">
      <c r="A482" s="458"/>
      <c r="B482" s="458"/>
      <c r="C482" s="458"/>
      <c r="D482" s="458"/>
      <c r="E482" s="458"/>
      <c r="F482" s="458"/>
      <c r="G482" s="458"/>
      <c r="H482" s="458"/>
      <c r="I482" s="458"/>
      <c r="J482" s="458"/>
      <c r="K482" s="458"/>
      <c r="L482" s="458"/>
      <c r="M482" s="458"/>
      <c r="N482" s="458"/>
      <c r="O482" s="458"/>
      <c r="P482" s="458"/>
      <c r="Q482" s="458"/>
      <c r="R482" s="458"/>
      <c r="S482" s="458"/>
      <c r="T482" s="458"/>
      <c r="U482" s="458"/>
      <c r="V482" s="458"/>
      <c r="W482" s="458"/>
    </row>
    <row r="483" spans="1:23" ht="15.75" customHeight="1">
      <c r="A483" s="458"/>
      <c r="B483" s="458"/>
      <c r="C483" s="458"/>
      <c r="D483" s="458"/>
      <c r="E483" s="458"/>
      <c r="F483" s="458"/>
      <c r="G483" s="458"/>
      <c r="H483" s="458"/>
      <c r="I483" s="458"/>
      <c r="J483" s="458"/>
      <c r="K483" s="458"/>
      <c r="L483" s="458"/>
      <c r="M483" s="458"/>
      <c r="N483" s="458"/>
      <c r="O483" s="458"/>
      <c r="P483" s="458"/>
      <c r="Q483" s="458"/>
      <c r="R483" s="458"/>
      <c r="S483" s="458"/>
      <c r="T483" s="458"/>
      <c r="U483" s="458"/>
      <c r="V483" s="458"/>
      <c r="W483" s="458"/>
    </row>
    <row r="484" spans="1:23" ht="15.75" customHeight="1">
      <c r="A484" s="458"/>
      <c r="B484" s="458"/>
      <c r="C484" s="458"/>
      <c r="D484" s="458"/>
      <c r="E484" s="458"/>
      <c r="F484" s="458"/>
      <c r="G484" s="458"/>
      <c r="H484" s="458"/>
      <c r="I484" s="458"/>
      <c r="J484" s="458"/>
      <c r="K484" s="458"/>
      <c r="L484" s="458"/>
      <c r="M484" s="458"/>
      <c r="N484" s="458"/>
      <c r="O484" s="458"/>
      <c r="P484" s="458"/>
      <c r="Q484" s="458"/>
      <c r="R484" s="458"/>
      <c r="S484" s="458"/>
      <c r="T484" s="458"/>
      <c r="U484" s="458"/>
      <c r="V484" s="458"/>
      <c r="W484" s="458"/>
    </row>
    <row r="485" spans="1:23" ht="15.75" customHeight="1">
      <c r="A485" s="458"/>
      <c r="B485" s="458"/>
      <c r="C485" s="458"/>
      <c r="D485" s="458"/>
      <c r="E485" s="458"/>
      <c r="F485" s="458"/>
      <c r="G485" s="458"/>
      <c r="H485" s="458"/>
      <c r="I485" s="458"/>
      <c r="J485" s="458"/>
      <c r="K485" s="458"/>
      <c r="L485" s="458"/>
      <c r="M485" s="458"/>
      <c r="N485" s="458"/>
      <c r="O485" s="458"/>
      <c r="P485" s="458"/>
      <c r="Q485" s="458"/>
      <c r="R485" s="458"/>
      <c r="S485" s="458"/>
      <c r="T485" s="458"/>
      <c r="U485" s="458"/>
      <c r="V485" s="458"/>
      <c r="W485" s="458"/>
    </row>
    <row r="486" spans="1:23" ht="15.75" customHeight="1">
      <c r="A486" s="458"/>
      <c r="B486" s="458"/>
      <c r="C486" s="458"/>
      <c r="D486" s="458"/>
      <c r="E486" s="458"/>
      <c r="F486" s="458"/>
      <c r="G486" s="458"/>
      <c r="H486" s="458"/>
      <c r="I486" s="458"/>
      <c r="J486" s="458"/>
      <c r="K486" s="458"/>
      <c r="L486" s="458"/>
      <c r="M486" s="458"/>
      <c r="N486" s="458"/>
      <c r="O486" s="458"/>
      <c r="P486" s="458"/>
      <c r="Q486" s="458"/>
      <c r="R486" s="458"/>
      <c r="S486" s="458"/>
      <c r="T486" s="458"/>
      <c r="U486" s="458"/>
      <c r="V486" s="458"/>
      <c r="W486" s="458"/>
    </row>
    <row r="487" spans="1:23" ht="15.75" customHeight="1">
      <c r="A487" s="458"/>
      <c r="B487" s="458"/>
      <c r="C487" s="458"/>
      <c r="D487" s="458"/>
      <c r="E487" s="458"/>
      <c r="F487" s="458"/>
      <c r="G487" s="458"/>
      <c r="H487" s="458"/>
      <c r="I487" s="458"/>
      <c r="J487" s="458"/>
      <c r="K487" s="458"/>
      <c r="L487" s="458"/>
      <c r="M487" s="458"/>
      <c r="N487" s="458"/>
      <c r="O487" s="458"/>
      <c r="P487" s="458"/>
      <c r="Q487" s="458"/>
      <c r="R487" s="458"/>
      <c r="S487" s="458"/>
      <c r="T487" s="458"/>
      <c r="U487" s="458"/>
      <c r="V487" s="458"/>
      <c r="W487" s="458"/>
    </row>
    <row r="488" spans="1:23" ht="15.75" customHeight="1">
      <c r="A488" s="458"/>
      <c r="B488" s="458"/>
      <c r="C488" s="458"/>
      <c r="D488" s="458"/>
      <c r="E488" s="458"/>
      <c r="F488" s="458"/>
      <c r="G488" s="458"/>
      <c r="H488" s="458"/>
      <c r="I488" s="458"/>
      <c r="J488" s="458"/>
      <c r="K488" s="458"/>
      <c r="L488" s="458"/>
      <c r="M488" s="458"/>
      <c r="N488" s="458"/>
      <c r="O488" s="458"/>
      <c r="P488" s="458"/>
      <c r="Q488" s="458"/>
      <c r="R488" s="458"/>
      <c r="S488" s="458"/>
      <c r="T488" s="458"/>
      <c r="U488" s="458"/>
      <c r="V488" s="458"/>
      <c r="W488" s="458"/>
    </row>
    <row r="489" spans="1:23" ht="15.75" customHeight="1">
      <c r="A489" s="458"/>
      <c r="B489" s="458"/>
      <c r="C489" s="458"/>
      <c r="D489" s="458"/>
      <c r="E489" s="458"/>
      <c r="F489" s="458"/>
      <c r="G489" s="458"/>
      <c r="H489" s="458"/>
      <c r="I489" s="458"/>
      <c r="J489" s="458"/>
      <c r="K489" s="458"/>
      <c r="L489" s="458"/>
      <c r="M489" s="458"/>
      <c r="N489" s="458"/>
      <c r="O489" s="458"/>
      <c r="P489" s="458"/>
      <c r="Q489" s="458"/>
      <c r="R489" s="458"/>
      <c r="S489" s="458"/>
      <c r="T489" s="458"/>
      <c r="U489" s="458"/>
      <c r="V489" s="458"/>
      <c r="W489" s="458"/>
    </row>
    <row r="490" spans="1:23" ht="15.75" customHeight="1">
      <c r="A490" s="458"/>
      <c r="B490" s="458"/>
      <c r="C490" s="458"/>
      <c r="D490" s="458"/>
      <c r="E490" s="458"/>
      <c r="F490" s="458"/>
      <c r="G490" s="458"/>
      <c r="H490" s="458"/>
      <c r="I490" s="458"/>
      <c r="J490" s="458"/>
      <c r="K490" s="458"/>
      <c r="L490" s="458"/>
      <c r="M490" s="458"/>
      <c r="N490" s="458"/>
      <c r="O490" s="458"/>
      <c r="P490" s="458"/>
      <c r="Q490" s="458"/>
      <c r="R490" s="458"/>
      <c r="S490" s="458"/>
      <c r="T490" s="458"/>
      <c r="U490" s="458"/>
      <c r="V490" s="458"/>
      <c r="W490" s="458"/>
    </row>
    <row r="491" spans="1:23" ht="15.75" customHeight="1">
      <c r="A491" s="458"/>
      <c r="B491" s="458"/>
      <c r="C491" s="458"/>
      <c r="D491" s="458"/>
      <c r="E491" s="458"/>
      <c r="F491" s="458"/>
      <c r="G491" s="458"/>
      <c r="H491" s="458"/>
      <c r="I491" s="458"/>
      <c r="J491" s="458"/>
      <c r="K491" s="458"/>
      <c r="L491" s="458"/>
      <c r="M491" s="458"/>
      <c r="N491" s="458"/>
      <c r="O491" s="458"/>
      <c r="P491" s="458"/>
      <c r="Q491" s="458"/>
      <c r="R491" s="458"/>
      <c r="S491" s="458"/>
      <c r="T491" s="458"/>
      <c r="U491" s="458"/>
      <c r="V491" s="458"/>
      <c r="W491" s="458"/>
    </row>
    <row r="492" spans="1:23" ht="15.75" customHeight="1">
      <c r="A492" s="458"/>
      <c r="B492" s="458"/>
      <c r="C492" s="458"/>
      <c r="D492" s="458"/>
      <c r="E492" s="458"/>
      <c r="F492" s="458"/>
      <c r="G492" s="458"/>
      <c r="H492" s="458"/>
      <c r="I492" s="458"/>
      <c r="J492" s="458"/>
      <c r="K492" s="458"/>
      <c r="L492" s="458"/>
      <c r="M492" s="458"/>
      <c r="N492" s="458"/>
      <c r="O492" s="458"/>
      <c r="P492" s="458"/>
      <c r="Q492" s="458"/>
      <c r="R492" s="458"/>
      <c r="S492" s="458"/>
      <c r="T492" s="458"/>
      <c r="U492" s="458"/>
      <c r="V492" s="458"/>
      <c r="W492" s="458"/>
    </row>
    <row r="493" spans="1:23" ht="15.75" customHeight="1">
      <c r="A493" s="458"/>
      <c r="B493" s="458"/>
      <c r="C493" s="458"/>
      <c r="D493" s="458"/>
      <c r="E493" s="458"/>
      <c r="F493" s="458"/>
      <c r="G493" s="458"/>
      <c r="H493" s="458"/>
      <c r="I493" s="458"/>
      <c r="J493" s="458"/>
      <c r="K493" s="458"/>
      <c r="L493" s="458"/>
      <c r="M493" s="458"/>
      <c r="N493" s="458"/>
      <c r="O493" s="458"/>
      <c r="P493" s="458"/>
      <c r="Q493" s="458"/>
      <c r="R493" s="458"/>
      <c r="S493" s="458"/>
      <c r="T493" s="458"/>
      <c r="U493" s="458"/>
      <c r="V493" s="458"/>
      <c r="W493" s="458"/>
    </row>
    <row r="494" spans="1:23" ht="15.75" customHeight="1">
      <c r="A494" s="458"/>
      <c r="B494" s="458"/>
      <c r="C494" s="458"/>
      <c r="D494" s="458"/>
      <c r="E494" s="458"/>
      <c r="F494" s="458"/>
      <c r="G494" s="458"/>
      <c r="H494" s="458"/>
      <c r="I494" s="458"/>
      <c r="J494" s="458"/>
      <c r="K494" s="458"/>
      <c r="L494" s="458"/>
      <c r="M494" s="458"/>
      <c r="N494" s="458"/>
      <c r="O494" s="458"/>
      <c r="P494" s="458"/>
      <c r="Q494" s="458"/>
      <c r="R494" s="458"/>
      <c r="S494" s="458"/>
      <c r="T494" s="458"/>
      <c r="U494" s="458"/>
      <c r="V494" s="458"/>
      <c r="W494" s="458"/>
    </row>
    <row r="495" spans="1:23" ht="15.75" customHeight="1">
      <c r="A495" s="458"/>
      <c r="B495" s="458"/>
      <c r="C495" s="458"/>
      <c r="D495" s="458"/>
      <c r="E495" s="458"/>
      <c r="F495" s="458"/>
      <c r="G495" s="458"/>
      <c r="H495" s="458"/>
      <c r="I495" s="458"/>
      <c r="J495" s="458"/>
      <c r="K495" s="458"/>
      <c r="L495" s="458"/>
      <c r="M495" s="458"/>
      <c r="N495" s="458"/>
      <c r="O495" s="458"/>
      <c r="P495" s="458"/>
      <c r="Q495" s="458"/>
      <c r="R495" s="458"/>
      <c r="S495" s="458"/>
      <c r="T495" s="458"/>
      <c r="U495" s="458"/>
      <c r="V495" s="458"/>
      <c r="W495" s="458"/>
    </row>
    <row r="496" spans="1:23" ht="15.75" customHeight="1">
      <c r="A496" s="458"/>
      <c r="B496" s="458"/>
      <c r="C496" s="458"/>
      <c r="D496" s="458"/>
      <c r="E496" s="458"/>
      <c r="F496" s="458"/>
      <c r="G496" s="458"/>
      <c r="H496" s="458"/>
      <c r="I496" s="458"/>
      <c r="J496" s="458"/>
      <c r="K496" s="458"/>
      <c r="L496" s="458"/>
      <c r="M496" s="458"/>
      <c r="N496" s="458"/>
      <c r="O496" s="458"/>
      <c r="P496" s="458"/>
      <c r="Q496" s="458"/>
      <c r="R496" s="458"/>
      <c r="S496" s="458"/>
      <c r="T496" s="458"/>
      <c r="U496" s="458"/>
      <c r="V496" s="458"/>
      <c r="W496" s="458"/>
    </row>
    <row r="497" spans="1:23" ht="15.75" customHeight="1">
      <c r="A497" s="458"/>
      <c r="B497" s="458"/>
      <c r="C497" s="458"/>
      <c r="D497" s="458"/>
      <c r="E497" s="458"/>
      <c r="F497" s="458"/>
      <c r="G497" s="458"/>
      <c r="H497" s="458"/>
      <c r="I497" s="458"/>
      <c r="J497" s="458"/>
      <c r="K497" s="458"/>
      <c r="L497" s="458"/>
      <c r="M497" s="458"/>
      <c r="N497" s="458"/>
      <c r="O497" s="458"/>
      <c r="P497" s="458"/>
      <c r="Q497" s="458"/>
      <c r="R497" s="458"/>
      <c r="S497" s="458"/>
      <c r="T497" s="458"/>
      <c r="U497" s="458"/>
      <c r="V497" s="458"/>
      <c r="W497" s="458"/>
    </row>
    <row r="498" spans="1:23" ht="15.75" customHeight="1">
      <c r="A498" s="458"/>
      <c r="B498" s="458"/>
      <c r="C498" s="458"/>
      <c r="D498" s="458"/>
      <c r="E498" s="458"/>
      <c r="F498" s="458"/>
      <c r="G498" s="458"/>
      <c r="H498" s="458"/>
      <c r="I498" s="458"/>
      <c r="J498" s="458"/>
      <c r="K498" s="458"/>
      <c r="L498" s="458"/>
      <c r="M498" s="458"/>
      <c r="N498" s="458"/>
      <c r="O498" s="458"/>
      <c r="P498" s="458"/>
      <c r="Q498" s="458"/>
      <c r="R498" s="458"/>
      <c r="S498" s="458"/>
      <c r="T498" s="458"/>
      <c r="U498" s="458"/>
      <c r="V498" s="458"/>
      <c r="W498" s="458"/>
    </row>
    <row r="499" spans="1:23" ht="15.75" customHeight="1">
      <c r="A499" s="458"/>
      <c r="B499" s="458"/>
      <c r="C499" s="458"/>
      <c r="D499" s="458"/>
      <c r="E499" s="458"/>
      <c r="F499" s="458"/>
      <c r="G499" s="458"/>
      <c r="H499" s="458"/>
      <c r="I499" s="458"/>
      <c r="J499" s="458"/>
      <c r="K499" s="458"/>
      <c r="L499" s="458"/>
      <c r="M499" s="458"/>
      <c r="N499" s="458"/>
      <c r="O499" s="458"/>
      <c r="P499" s="458"/>
      <c r="Q499" s="458"/>
      <c r="R499" s="458"/>
      <c r="S499" s="458"/>
      <c r="T499" s="458"/>
      <c r="U499" s="458"/>
      <c r="V499" s="458"/>
      <c r="W499" s="458"/>
    </row>
    <row r="500" spans="1:23" ht="15.75" customHeight="1">
      <c r="A500" s="458"/>
      <c r="B500" s="458"/>
      <c r="C500" s="458"/>
      <c r="D500" s="458"/>
      <c r="E500" s="458"/>
      <c r="F500" s="458"/>
      <c r="G500" s="458"/>
      <c r="H500" s="458"/>
      <c r="I500" s="458"/>
      <c r="J500" s="458"/>
      <c r="K500" s="458"/>
      <c r="L500" s="458"/>
      <c r="M500" s="458"/>
      <c r="N500" s="458"/>
      <c r="O500" s="458"/>
      <c r="P500" s="458"/>
      <c r="Q500" s="458"/>
      <c r="R500" s="458"/>
      <c r="S500" s="458"/>
      <c r="T500" s="458"/>
      <c r="U500" s="458"/>
      <c r="V500" s="458"/>
      <c r="W500" s="458"/>
    </row>
    <row r="501" spans="1:23" ht="15.75" customHeight="1">
      <c r="A501" s="458"/>
      <c r="B501" s="458"/>
      <c r="C501" s="458"/>
      <c r="D501" s="458"/>
      <c r="E501" s="458"/>
      <c r="F501" s="458"/>
      <c r="G501" s="458"/>
      <c r="H501" s="458"/>
      <c r="I501" s="458"/>
      <c r="J501" s="458"/>
      <c r="K501" s="458"/>
      <c r="L501" s="458"/>
      <c r="M501" s="458"/>
      <c r="N501" s="458"/>
      <c r="O501" s="458"/>
      <c r="P501" s="458"/>
      <c r="Q501" s="458"/>
      <c r="R501" s="458"/>
      <c r="S501" s="458"/>
      <c r="T501" s="458"/>
      <c r="U501" s="458"/>
      <c r="V501" s="458"/>
      <c r="W501" s="458"/>
    </row>
    <row r="502" spans="1:23" ht="15.75" customHeight="1">
      <c r="A502" s="458"/>
      <c r="B502" s="458"/>
      <c r="C502" s="458"/>
      <c r="D502" s="458"/>
      <c r="E502" s="458"/>
      <c r="F502" s="458"/>
      <c r="G502" s="458"/>
      <c r="H502" s="458"/>
      <c r="I502" s="458"/>
      <c r="J502" s="458"/>
      <c r="K502" s="458"/>
      <c r="L502" s="458"/>
      <c r="M502" s="458"/>
      <c r="N502" s="458"/>
      <c r="O502" s="458"/>
      <c r="P502" s="458"/>
      <c r="Q502" s="458"/>
      <c r="R502" s="458"/>
      <c r="S502" s="458"/>
      <c r="T502" s="458"/>
      <c r="U502" s="458"/>
      <c r="V502" s="458"/>
      <c r="W502" s="458"/>
    </row>
    <row r="503" spans="1:23" ht="15.75" customHeight="1">
      <c r="A503" s="458"/>
      <c r="B503" s="458"/>
      <c r="C503" s="458"/>
      <c r="D503" s="458"/>
      <c r="E503" s="458"/>
      <c r="F503" s="458"/>
      <c r="G503" s="458"/>
      <c r="H503" s="458"/>
      <c r="I503" s="458"/>
      <c r="J503" s="458"/>
      <c r="K503" s="458"/>
      <c r="L503" s="458"/>
      <c r="M503" s="458"/>
      <c r="N503" s="458"/>
      <c r="O503" s="458"/>
      <c r="P503" s="458"/>
      <c r="Q503" s="458"/>
      <c r="R503" s="458"/>
      <c r="S503" s="458"/>
      <c r="T503" s="458"/>
      <c r="U503" s="458"/>
      <c r="V503" s="458"/>
      <c r="W503" s="458"/>
    </row>
    <row r="504" spans="1:23" ht="15.75" customHeight="1">
      <c r="A504" s="458"/>
      <c r="B504" s="458"/>
      <c r="C504" s="458"/>
      <c r="D504" s="458"/>
      <c r="E504" s="458"/>
      <c r="F504" s="458"/>
      <c r="G504" s="458"/>
      <c r="H504" s="458"/>
      <c r="I504" s="458"/>
      <c r="J504" s="458"/>
      <c r="K504" s="458"/>
      <c r="L504" s="458"/>
      <c r="M504" s="458"/>
      <c r="N504" s="458"/>
      <c r="O504" s="458"/>
      <c r="P504" s="458"/>
      <c r="Q504" s="458"/>
      <c r="R504" s="458"/>
      <c r="S504" s="458"/>
      <c r="T504" s="458"/>
      <c r="U504" s="458"/>
      <c r="V504" s="458"/>
      <c r="W504" s="458"/>
    </row>
    <row r="505" spans="1:23" ht="15.75" customHeight="1">
      <c r="A505" s="458"/>
      <c r="B505" s="458"/>
      <c r="C505" s="458"/>
      <c r="D505" s="458"/>
      <c r="E505" s="458"/>
      <c r="F505" s="458"/>
      <c r="G505" s="458"/>
      <c r="H505" s="458"/>
      <c r="I505" s="458"/>
      <c r="J505" s="458"/>
      <c r="K505" s="458"/>
      <c r="L505" s="458"/>
      <c r="M505" s="458"/>
      <c r="N505" s="458"/>
      <c r="O505" s="458"/>
      <c r="P505" s="458"/>
      <c r="Q505" s="458"/>
      <c r="R505" s="458"/>
      <c r="S505" s="458"/>
      <c r="T505" s="458"/>
      <c r="U505" s="458"/>
      <c r="V505" s="458"/>
      <c r="W505" s="458"/>
    </row>
    <row r="506" spans="1:23" ht="15.75" customHeight="1">
      <c r="A506" s="458"/>
      <c r="B506" s="458"/>
      <c r="C506" s="458"/>
      <c r="D506" s="458"/>
      <c r="E506" s="458"/>
      <c r="F506" s="458"/>
      <c r="G506" s="458"/>
      <c r="H506" s="458"/>
      <c r="I506" s="458"/>
      <c r="J506" s="458"/>
      <c r="K506" s="458"/>
      <c r="L506" s="458"/>
      <c r="M506" s="458"/>
      <c r="N506" s="458"/>
      <c r="O506" s="458"/>
      <c r="P506" s="458"/>
      <c r="Q506" s="458"/>
      <c r="R506" s="458"/>
      <c r="S506" s="458"/>
      <c r="T506" s="458"/>
      <c r="U506" s="458"/>
      <c r="V506" s="458"/>
      <c r="W506" s="458"/>
    </row>
    <row r="507" spans="1:23" ht="15.75" customHeight="1">
      <c r="A507" s="458"/>
      <c r="B507" s="458"/>
      <c r="C507" s="458"/>
      <c r="D507" s="458"/>
      <c r="E507" s="458"/>
      <c r="F507" s="458"/>
      <c r="G507" s="458"/>
      <c r="H507" s="458"/>
      <c r="I507" s="458"/>
      <c r="J507" s="458"/>
      <c r="K507" s="458"/>
      <c r="L507" s="458"/>
      <c r="M507" s="458"/>
      <c r="N507" s="458"/>
      <c r="O507" s="458"/>
      <c r="P507" s="458"/>
      <c r="Q507" s="458"/>
      <c r="R507" s="458"/>
      <c r="S507" s="458"/>
      <c r="T507" s="458"/>
      <c r="U507" s="458"/>
      <c r="V507" s="458"/>
      <c r="W507" s="458"/>
    </row>
    <row r="508" spans="1:23" ht="15.75" customHeight="1">
      <c r="A508" s="458"/>
      <c r="B508" s="458"/>
      <c r="C508" s="458"/>
      <c r="D508" s="458"/>
      <c r="E508" s="458"/>
      <c r="F508" s="458"/>
      <c r="G508" s="458"/>
      <c r="H508" s="458"/>
      <c r="I508" s="458"/>
      <c r="J508" s="458"/>
      <c r="K508" s="458"/>
      <c r="L508" s="458"/>
      <c r="M508" s="458"/>
      <c r="N508" s="458"/>
      <c r="O508" s="458"/>
      <c r="P508" s="458"/>
      <c r="Q508" s="458"/>
      <c r="R508" s="458"/>
      <c r="S508" s="458"/>
      <c r="T508" s="458"/>
      <c r="U508" s="458"/>
      <c r="V508" s="458"/>
      <c r="W508" s="458"/>
    </row>
    <row r="509" spans="1:23" ht="15.75" customHeight="1">
      <c r="A509" s="458"/>
      <c r="B509" s="458"/>
      <c r="C509" s="458"/>
      <c r="D509" s="458"/>
      <c r="E509" s="458"/>
      <c r="F509" s="458"/>
      <c r="G509" s="458"/>
      <c r="H509" s="458"/>
      <c r="I509" s="458"/>
      <c r="J509" s="458"/>
      <c r="K509" s="458"/>
      <c r="L509" s="458"/>
      <c r="M509" s="458"/>
      <c r="N509" s="458"/>
      <c r="O509" s="458"/>
      <c r="P509" s="458"/>
      <c r="Q509" s="458"/>
      <c r="R509" s="458"/>
      <c r="S509" s="458"/>
      <c r="T509" s="458"/>
      <c r="U509" s="458"/>
      <c r="V509" s="458"/>
      <c r="W509" s="458"/>
    </row>
    <row r="510" spans="1:23" ht="15.75" customHeight="1">
      <c r="A510" s="458"/>
      <c r="B510" s="458"/>
      <c r="C510" s="458"/>
      <c r="D510" s="458"/>
      <c r="E510" s="458"/>
      <c r="F510" s="458"/>
      <c r="G510" s="458"/>
      <c r="H510" s="458"/>
      <c r="I510" s="458"/>
      <c r="J510" s="458"/>
      <c r="K510" s="458"/>
      <c r="L510" s="458"/>
      <c r="M510" s="458"/>
      <c r="N510" s="458"/>
      <c r="O510" s="458"/>
      <c r="P510" s="458"/>
      <c r="Q510" s="458"/>
      <c r="R510" s="458"/>
      <c r="S510" s="458"/>
      <c r="T510" s="458"/>
      <c r="U510" s="458"/>
      <c r="V510" s="458"/>
      <c r="W510" s="458"/>
    </row>
    <row r="511" spans="1:23" ht="15.75" customHeight="1">
      <c r="A511" s="458"/>
      <c r="B511" s="458"/>
      <c r="C511" s="458"/>
      <c r="D511" s="458"/>
      <c r="E511" s="458"/>
      <c r="F511" s="458"/>
      <c r="G511" s="458"/>
      <c r="H511" s="458"/>
      <c r="I511" s="458"/>
      <c r="J511" s="458"/>
      <c r="K511" s="458"/>
      <c r="L511" s="458"/>
      <c r="M511" s="458"/>
      <c r="N511" s="458"/>
      <c r="O511" s="458"/>
      <c r="P511" s="458"/>
      <c r="Q511" s="458"/>
      <c r="R511" s="458"/>
      <c r="S511" s="458"/>
      <c r="T511" s="458"/>
      <c r="U511" s="458"/>
      <c r="V511" s="458"/>
      <c r="W511" s="458"/>
    </row>
    <row r="512" spans="1:23" ht="15.75" customHeight="1">
      <c r="A512" s="458"/>
      <c r="B512" s="458"/>
      <c r="C512" s="458"/>
      <c r="D512" s="458"/>
      <c r="E512" s="458"/>
      <c r="F512" s="458"/>
      <c r="G512" s="458"/>
      <c r="H512" s="458"/>
      <c r="I512" s="458"/>
      <c r="J512" s="458"/>
      <c r="K512" s="458"/>
      <c r="L512" s="458"/>
      <c r="M512" s="458"/>
      <c r="N512" s="458"/>
      <c r="O512" s="458"/>
      <c r="P512" s="458"/>
      <c r="Q512" s="458"/>
      <c r="R512" s="458"/>
      <c r="S512" s="458"/>
      <c r="T512" s="458"/>
      <c r="U512" s="458"/>
      <c r="V512" s="458"/>
      <c r="W512" s="458"/>
    </row>
    <row r="513" spans="1:23" ht="15.75" customHeight="1">
      <c r="A513" s="458"/>
      <c r="B513" s="458"/>
      <c r="C513" s="458"/>
      <c r="D513" s="458"/>
      <c r="E513" s="458"/>
      <c r="F513" s="458"/>
      <c r="G513" s="458"/>
      <c r="H513" s="458"/>
      <c r="I513" s="458"/>
      <c r="J513" s="458"/>
      <c r="K513" s="458"/>
      <c r="L513" s="458"/>
      <c r="M513" s="458"/>
      <c r="N513" s="458"/>
      <c r="O513" s="458"/>
      <c r="P513" s="458"/>
      <c r="Q513" s="458"/>
      <c r="R513" s="458"/>
      <c r="S513" s="458"/>
      <c r="T513" s="458"/>
      <c r="U513" s="458"/>
      <c r="V513" s="458"/>
      <c r="W513" s="458"/>
    </row>
    <row r="514" spans="1:23" ht="15.75" customHeight="1">
      <c r="A514" s="458"/>
      <c r="B514" s="458"/>
      <c r="C514" s="458"/>
      <c r="D514" s="458"/>
      <c r="E514" s="458"/>
      <c r="F514" s="458"/>
      <c r="G514" s="458"/>
      <c r="H514" s="458"/>
      <c r="I514" s="458"/>
      <c r="J514" s="458"/>
      <c r="K514" s="458"/>
      <c r="L514" s="458"/>
      <c r="M514" s="458"/>
      <c r="N514" s="458"/>
      <c r="O514" s="458"/>
      <c r="P514" s="458"/>
      <c r="Q514" s="458"/>
      <c r="R514" s="458"/>
      <c r="S514" s="458"/>
      <c r="T514" s="458"/>
      <c r="U514" s="458"/>
      <c r="V514" s="458"/>
      <c r="W514" s="458"/>
    </row>
    <row r="515" spans="1:23" ht="15.75" customHeight="1">
      <c r="A515" s="458"/>
      <c r="B515" s="458"/>
      <c r="C515" s="458"/>
      <c r="D515" s="458"/>
      <c r="E515" s="458"/>
      <c r="F515" s="458"/>
      <c r="G515" s="458"/>
      <c r="H515" s="458"/>
      <c r="I515" s="458"/>
      <c r="J515" s="458"/>
      <c r="K515" s="458"/>
      <c r="L515" s="458"/>
      <c r="M515" s="458"/>
      <c r="N515" s="458"/>
      <c r="O515" s="458"/>
      <c r="P515" s="458"/>
      <c r="Q515" s="458"/>
      <c r="R515" s="458"/>
      <c r="S515" s="458"/>
      <c r="T515" s="458"/>
      <c r="U515" s="458"/>
      <c r="V515" s="458"/>
      <c r="W515" s="458"/>
    </row>
    <row r="516" spans="1:23" ht="15.75" customHeight="1">
      <c r="A516" s="458"/>
      <c r="B516" s="458"/>
      <c r="C516" s="458"/>
      <c r="D516" s="458"/>
      <c r="E516" s="458"/>
      <c r="F516" s="458"/>
      <c r="G516" s="458"/>
      <c r="H516" s="458"/>
      <c r="I516" s="458"/>
      <c r="J516" s="458"/>
      <c r="K516" s="458"/>
      <c r="L516" s="458"/>
      <c r="M516" s="458"/>
      <c r="N516" s="458"/>
      <c r="O516" s="458"/>
      <c r="P516" s="458"/>
      <c r="Q516" s="458"/>
      <c r="R516" s="458"/>
      <c r="S516" s="458"/>
      <c r="T516" s="458"/>
      <c r="U516" s="458"/>
      <c r="V516" s="458"/>
      <c r="W516" s="458"/>
    </row>
    <row r="517" spans="1:23" ht="15.75" customHeight="1">
      <c r="A517" s="458"/>
      <c r="B517" s="458"/>
      <c r="C517" s="458"/>
      <c r="D517" s="458"/>
      <c r="E517" s="458"/>
      <c r="F517" s="458"/>
      <c r="G517" s="458"/>
      <c r="H517" s="458"/>
      <c r="I517" s="458"/>
      <c r="J517" s="458"/>
      <c r="K517" s="458"/>
      <c r="L517" s="458"/>
      <c r="M517" s="458"/>
      <c r="N517" s="458"/>
      <c r="O517" s="458"/>
      <c r="P517" s="458"/>
      <c r="Q517" s="458"/>
      <c r="R517" s="458"/>
      <c r="S517" s="458"/>
      <c r="T517" s="458"/>
      <c r="U517" s="458"/>
      <c r="V517" s="458"/>
      <c r="W517" s="458"/>
    </row>
    <row r="518" spans="1:23" ht="15.75" customHeight="1">
      <c r="A518" s="458"/>
      <c r="B518" s="458"/>
      <c r="C518" s="458"/>
      <c r="D518" s="458"/>
      <c r="E518" s="458"/>
      <c r="F518" s="458"/>
      <c r="G518" s="458"/>
      <c r="H518" s="458"/>
      <c r="I518" s="458"/>
      <c r="J518" s="458"/>
      <c r="K518" s="458"/>
      <c r="L518" s="458"/>
      <c r="M518" s="458"/>
      <c r="N518" s="458"/>
      <c r="O518" s="458"/>
      <c r="P518" s="458"/>
      <c r="Q518" s="458"/>
      <c r="R518" s="458"/>
      <c r="S518" s="458"/>
      <c r="T518" s="458"/>
      <c r="U518" s="458"/>
      <c r="V518" s="458"/>
      <c r="W518" s="458"/>
    </row>
    <row r="519" spans="1:23" ht="15.75" customHeight="1">
      <c r="A519" s="458"/>
      <c r="B519" s="458"/>
      <c r="C519" s="458"/>
      <c r="D519" s="458"/>
      <c r="E519" s="458"/>
      <c r="F519" s="458"/>
      <c r="G519" s="458"/>
      <c r="H519" s="458"/>
      <c r="I519" s="458"/>
      <c r="J519" s="458"/>
      <c r="K519" s="458"/>
      <c r="L519" s="458"/>
      <c r="M519" s="458"/>
      <c r="N519" s="458"/>
      <c r="O519" s="458"/>
      <c r="P519" s="458"/>
      <c r="Q519" s="458"/>
      <c r="R519" s="458"/>
      <c r="S519" s="458"/>
      <c r="T519" s="458"/>
      <c r="U519" s="458"/>
      <c r="V519" s="458"/>
      <c r="W519" s="458"/>
    </row>
    <row r="520" spans="1:23" ht="15.75" customHeight="1">
      <c r="A520" s="458"/>
      <c r="B520" s="458"/>
      <c r="C520" s="458"/>
      <c r="D520" s="458"/>
      <c r="E520" s="458"/>
      <c r="F520" s="458"/>
      <c r="G520" s="458"/>
      <c r="H520" s="458"/>
      <c r="I520" s="458"/>
      <c r="J520" s="458"/>
      <c r="K520" s="458"/>
      <c r="L520" s="458"/>
      <c r="M520" s="458"/>
      <c r="N520" s="458"/>
      <c r="O520" s="458"/>
      <c r="P520" s="458"/>
      <c r="Q520" s="458"/>
      <c r="R520" s="458"/>
      <c r="S520" s="458"/>
      <c r="T520" s="458"/>
      <c r="U520" s="458"/>
      <c r="V520" s="458"/>
      <c r="W520" s="458"/>
    </row>
    <row r="521" spans="1:23" ht="15.75" customHeight="1">
      <c r="A521" s="458"/>
      <c r="B521" s="458"/>
      <c r="C521" s="458"/>
      <c r="D521" s="458"/>
      <c r="E521" s="458"/>
      <c r="F521" s="458"/>
      <c r="G521" s="458"/>
      <c r="H521" s="458"/>
      <c r="I521" s="458"/>
      <c r="J521" s="458"/>
      <c r="K521" s="458"/>
      <c r="L521" s="458"/>
      <c r="M521" s="458"/>
      <c r="N521" s="458"/>
      <c r="O521" s="458"/>
      <c r="P521" s="458"/>
      <c r="Q521" s="458"/>
      <c r="R521" s="458"/>
      <c r="S521" s="458"/>
      <c r="T521" s="458"/>
      <c r="U521" s="458"/>
      <c r="V521" s="458"/>
      <c r="W521" s="458"/>
    </row>
    <row r="522" spans="1:23" ht="15.75" customHeight="1">
      <c r="A522" s="458"/>
      <c r="B522" s="458"/>
      <c r="C522" s="458"/>
      <c r="D522" s="458"/>
      <c r="E522" s="458"/>
      <c r="F522" s="458"/>
      <c r="G522" s="458"/>
      <c r="H522" s="458"/>
      <c r="I522" s="458"/>
      <c r="J522" s="458"/>
      <c r="K522" s="458"/>
      <c r="L522" s="458"/>
      <c r="M522" s="458"/>
      <c r="N522" s="458"/>
      <c r="O522" s="458"/>
      <c r="P522" s="458"/>
      <c r="Q522" s="458"/>
      <c r="R522" s="458"/>
      <c r="S522" s="458"/>
      <c r="T522" s="458"/>
      <c r="U522" s="458"/>
      <c r="V522" s="458"/>
      <c r="W522" s="458"/>
    </row>
    <row r="523" spans="1:23" ht="15.75" customHeight="1">
      <c r="A523" s="458"/>
      <c r="B523" s="458"/>
      <c r="C523" s="458"/>
      <c r="D523" s="458"/>
      <c r="E523" s="458"/>
      <c r="F523" s="458"/>
      <c r="G523" s="458"/>
      <c r="H523" s="458"/>
      <c r="I523" s="458"/>
      <c r="J523" s="458"/>
      <c r="K523" s="458"/>
      <c r="L523" s="458"/>
      <c r="M523" s="458"/>
      <c r="N523" s="458"/>
      <c r="O523" s="458"/>
      <c r="P523" s="458"/>
      <c r="Q523" s="458"/>
      <c r="R523" s="458"/>
      <c r="S523" s="458"/>
      <c r="T523" s="458"/>
      <c r="U523" s="458"/>
      <c r="V523" s="458"/>
      <c r="W523" s="458"/>
    </row>
    <row r="524" spans="1:23" ht="15.75" customHeight="1">
      <c r="A524" s="458"/>
      <c r="B524" s="458"/>
      <c r="C524" s="458"/>
      <c r="D524" s="458"/>
      <c r="E524" s="458"/>
      <c r="F524" s="458"/>
      <c r="G524" s="458"/>
      <c r="H524" s="458"/>
      <c r="I524" s="458"/>
      <c r="J524" s="458"/>
      <c r="K524" s="458"/>
      <c r="L524" s="458"/>
      <c r="M524" s="458"/>
      <c r="N524" s="458"/>
      <c r="O524" s="458"/>
      <c r="P524" s="458"/>
      <c r="Q524" s="458"/>
      <c r="R524" s="458"/>
      <c r="S524" s="458"/>
      <c r="T524" s="458"/>
      <c r="U524" s="458"/>
      <c r="V524" s="458"/>
      <c r="W524" s="458"/>
    </row>
    <row r="525" spans="1:23" ht="15.75" customHeight="1">
      <c r="A525" s="458"/>
      <c r="B525" s="458"/>
      <c r="C525" s="458"/>
      <c r="D525" s="458"/>
      <c r="E525" s="458"/>
      <c r="F525" s="458"/>
      <c r="G525" s="458"/>
      <c r="H525" s="458"/>
      <c r="I525" s="458"/>
      <c r="J525" s="458"/>
      <c r="K525" s="458"/>
      <c r="L525" s="458"/>
      <c r="M525" s="458"/>
      <c r="N525" s="458"/>
      <c r="O525" s="458"/>
      <c r="P525" s="458"/>
      <c r="Q525" s="458"/>
      <c r="R525" s="458"/>
      <c r="S525" s="458"/>
      <c r="T525" s="458"/>
      <c r="U525" s="458"/>
      <c r="V525" s="458"/>
      <c r="W525" s="458"/>
    </row>
    <row r="526" spans="1:23" ht="15.75" customHeight="1">
      <c r="A526" s="458"/>
      <c r="B526" s="458"/>
      <c r="C526" s="458"/>
      <c r="D526" s="458"/>
      <c r="E526" s="458"/>
      <c r="F526" s="458"/>
      <c r="G526" s="458"/>
      <c r="H526" s="458"/>
      <c r="I526" s="458"/>
      <c r="J526" s="458"/>
      <c r="K526" s="458"/>
      <c r="L526" s="458"/>
      <c r="M526" s="458"/>
      <c r="N526" s="458"/>
      <c r="O526" s="458"/>
      <c r="P526" s="458"/>
      <c r="Q526" s="458"/>
      <c r="R526" s="458"/>
      <c r="S526" s="458"/>
      <c r="T526" s="458"/>
      <c r="U526" s="458"/>
      <c r="V526" s="458"/>
      <c r="W526" s="458"/>
    </row>
    <row r="527" spans="1:23" ht="15.75" customHeight="1">
      <c r="A527" s="458"/>
      <c r="B527" s="458"/>
      <c r="C527" s="458"/>
      <c r="D527" s="458"/>
      <c r="E527" s="458"/>
      <c r="F527" s="458"/>
      <c r="G527" s="458"/>
      <c r="H527" s="458"/>
      <c r="I527" s="458"/>
      <c r="J527" s="458"/>
      <c r="K527" s="458"/>
      <c r="L527" s="458"/>
      <c r="M527" s="458"/>
      <c r="N527" s="458"/>
      <c r="O527" s="458"/>
      <c r="P527" s="458"/>
      <c r="Q527" s="458"/>
      <c r="R527" s="458"/>
      <c r="S527" s="458"/>
      <c r="T527" s="458"/>
      <c r="U527" s="458"/>
      <c r="V527" s="458"/>
      <c r="W527" s="458"/>
    </row>
    <row r="528" spans="1:23" ht="15.75" customHeight="1">
      <c r="A528" s="458"/>
      <c r="B528" s="458"/>
      <c r="C528" s="458"/>
      <c r="D528" s="458"/>
      <c r="E528" s="458"/>
      <c r="F528" s="458"/>
      <c r="G528" s="458"/>
      <c r="H528" s="458"/>
      <c r="I528" s="458"/>
      <c r="J528" s="458"/>
      <c r="K528" s="458"/>
      <c r="L528" s="458"/>
      <c r="M528" s="458"/>
      <c r="N528" s="458"/>
      <c r="O528" s="458"/>
      <c r="P528" s="458"/>
      <c r="Q528" s="458"/>
      <c r="R528" s="458"/>
      <c r="S528" s="458"/>
      <c r="T528" s="458"/>
      <c r="U528" s="458"/>
      <c r="V528" s="458"/>
      <c r="W528" s="458"/>
    </row>
    <row r="529" spans="1:23" ht="15.75" customHeight="1">
      <c r="A529" s="458"/>
      <c r="B529" s="458"/>
      <c r="C529" s="458"/>
      <c r="D529" s="458"/>
      <c r="E529" s="458"/>
      <c r="F529" s="458"/>
      <c r="G529" s="458"/>
      <c r="H529" s="458"/>
      <c r="I529" s="458"/>
      <c r="J529" s="458"/>
      <c r="K529" s="458"/>
      <c r="L529" s="458"/>
      <c r="M529" s="458"/>
      <c r="N529" s="458"/>
      <c r="O529" s="458"/>
      <c r="P529" s="458"/>
      <c r="Q529" s="458"/>
      <c r="R529" s="458"/>
      <c r="S529" s="458"/>
      <c r="T529" s="458"/>
      <c r="U529" s="458"/>
      <c r="V529" s="458"/>
      <c r="W529" s="458"/>
    </row>
    <row r="530" spans="1:23" ht="15.75" customHeight="1">
      <c r="A530" s="458"/>
      <c r="B530" s="458"/>
      <c r="C530" s="458"/>
      <c r="D530" s="458"/>
      <c r="E530" s="458"/>
      <c r="F530" s="458"/>
      <c r="G530" s="458"/>
      <c r="H530" s="458"/>
      <c r="I530" s="458"/>
      <c r="J530" s="458"/>
      <c r="K530" s="458"/>
      <c r="L530" s="458"/>
      <c r="M530" s="458"/>
      <c r="N530" s="458"/>
      <c r="O530" s="458"/>
      <c r="P530" s="458"/>
      <c r="Q530" s="458"/>
      <c r="R530" s="458"/>
      <c r="S530" s="458"/>
      <c r="T530" s="458"/>
      <c r="U530" s="458"/>
      <c r="V530" s="458"/>
      <c r="W530" s="458"/>
    </row>
    <row r="531" spans="1:23" ht="15.75" customHeight="1">
      <c r="A531" s="458"/>
      <c r="B531" s="458"/>
      <c r="C531" s="458"/>
      <c r="D531" s="458"/>
      <c r="E531" s="458"/>
      <c r="F531" s="458"/>
      <c r="G531" s="458"/>
      <c r="H531" s="458"/>
      <c r="I531" s="458"/>
      <c r="J531" s="458"/>
      <c r="K531" s="458"/>
      <c r="L531" s="458"/>
      <c r="M531" s="458"/>
      <c r="N531" s="458"/>
      <c r="O531" s="458"/>
      <c r="P531" s="458"/>
      <c r="Q531" s="458"/>
      <c r="R531" s="458"/>
      <c r="S531" s="458"/>
      <c r="T531" s="458"/>
      <c r="U531" s="458"/>
      <c r="V531" s="458"/>
      <c r="W531" s="458"/>
    </row>
    <row r="532" spans="1:23" ht="15.75" customHeight="1">
      <c r="A532" s="458"/>
      <c r="B532" s="458"/>
      <c r="C532" s="458"/>
      <c r="D532" s="458"/>
      <c r="E532" s="458"/>
      <c r="F532" s="458"/>
      <c r="G532" s="458"/>
      <c r="H532" s="458"/>
      <c r="I532" s="458"/>
      <c r="J532" s="458"/>
      <c r="K532" s="458"/>
      <c r="L532" s="458"/>
      <c r="M532" s="458"/>
      <c r="N532" s="458"/>
      <c r="O532" s="458"/>
      <c r="P532" s="458"/>
      <c r="Q532" s="458"/>
      <c r="R532" s="458"/>
      <c r="S532" s="458"/>
      <c r="T532" s="458"/>
      <c r="U532" s="458"/>
      <c r="V532" s="458"/>
      <c r="W532" s="458"/>
    </row>
    <row r="533" spans="1:23" ht="15.75" customHeight="1">
      <c r="A533" s="458"/>
      <c r="B533" s="458"/>
      <c r="C533" s="458"/>
      <c r="D533" s="458"/>
      <c r="E533" s="458"/>
      <c r="F533" s="458"/>
      <c r="G533" s="458"/>
      <c r="H533" s="458"/>
      <c r="I533" s="458"/>
      <c r="J533" s="458"/>
      <c r="K533" s="458"/>
      <c r="L533" s="458"/>
      <c r="M533" s="458"/>
      <c r="N533" s="458"/>
      <c r="O533" s="458"/>
      <c r="P533" s="458"/>
      <c r="Q533" s="458"/>
      <c r="R533" s="458"/>
      <c r="S533" s="458"/>
      <c r="T533" s="458"/>
      <c r="U533" s="458"/>
      <c r="V533" s="458"/>
      <c r="W533" s="458"/>
    </row>
    <row r="534" spans="1:23" ht="15.75" customHeight="1">
      <c r="A534" s="458"/>
      <c r="B534" s="458"/>
      <c r="C534" s="458"/>
      <c r="D534" s="458"/>
      <c r="E534" s="458"/>
      <c r="F534" s="458"/>
      <c r="G534" s="458"/>
      <c r="H534" s="458"/>
      <c r="I534" s="458"/>
      <c r="J534" s="458"/>
      <c r="K534" s="458"/>
      <c r="L534" s="458"/>
      <c r="M534" s="458"/>
      <c r="N534" s="458"/>
      <c r="O534" s="458"/>
      <c r="P534" s="458"/>
      <c r="Q534" s="458"/>
      <c r="R534" s="458"/>
      <c r="S534" s="458"/>
      <c r="T534" s="458"/>
      <c r="U534" s="458"/>
      <c r="V534" s="458"/>
      <c r="W534" s="458"/>
    </row>
    <row r="535" spans="1:23" ht="15.75" customHeight="1">
      <c r="A535" s="458"/>
      <c r="B535" s="458"/>
      <c r="C535" s="458"/>
      <c r="D535" s="458"/>
      <c r="E535" s="458"/>
      <c r="F535" s="458"/>
      <c r="G535" s="458"/>
      <c r="H535" s="458"/>
      <c r="I535" s="458"/>
      <c r="J535" s="458"/>
      <c r="K535" s="458"/>
      <c r="L535" s="458"/>
      <c r="M535" s="458"/>
      <c r="N535" s="458"/>
      <c r="O535" s="458"/>
      <c r="P535" s="458"/>
      <c r="Q535" s="458"/>
      <c r="R535" s="458"/>
      <c r="S535" s="458"/>
      <c r="T535" s="458"/>
      <c r="U535" s="458"/>
      <c r="V535" s="458"/>
      <c r="W535" s="458"/>
    </row>
    <row r="536" spans="1:23" ht="15.75" customHeight="1">
      <c r="A536" s="458"/>
      <c r="B536" s="458"/>
      <c r="C536" s="458"/>
      <c r="D536" s="458"/>
      <c r="E536" s="458"/>
      <c r="F536" s="458"/>
      <c r="G536" s="458"/>
      <c r="H536" s="458"/>
      <c r="I536" s="458"/>
      <c r="J536" s="458"/>
      <c r="K536" s="458"/>
      <c r="L536" s="458"/>
      <c r="M536" s="458"/>
      <c r="N536" s="458"/>
      <c r="O536" s="458"/>
      <c r="P536" s="458"/>
      <c r="Q536" s="458"/>
      <c r="R536" s="458"/>
      <c r="S536" s="458"/>
      <c r="T536" s="458"/>
      <c r="U536" s="458"/>
      <c r="V536" s="458"/>
      <c r="W536" s="458"/>
    </row>
    <row r="537" spans="1:23" ht="15.75" customHeight="1">
      <c r="A537" s="458"/>
      <c r="B537" s="458"/>
      <c r="C537" s="458"/>
      <c r="D537" s="458"/>
      <c r="E537" s="458"/>
      <c r="F537" s="458"/>
      <c r="G537" s="458"/>
      <c r="H537" s="458"/>
      <c r="I537" s="458"/>
      <c r="J537" s="458"/>
      <c r="K537" s="458"/>
      <c r="L537" s="458"/>
      <c r="M537" s="458"/>
      <c r="N537" s="458"/>
      <c r="O537" s="458"/>
      <c r="P537" s="458"/>
      <c r="Q537" s="458"/>
      <c r="R537" s="458"/>
      <c r="S537" s="458"/>
      <c r="T537" s="458"/>
      <c r="U537" s="458"/>
      <c r="V537" s="458"/>
      <c r="W537" s="458"/>
    </row>
    <row r="538" spans="1:23" ht="15.75" customHeight="1">
      <c r="A538" s="458"/>
      <c r="B538" s="458"/>
      <c r="C538" s="458"/>
      <c r="D538" s="458"/>
      <c r="E538" s="458"/>
      <c r="F538" s="458"/>
      <c r="G538" s="458"/>
      <c r="H538" s="458"/>
      <c r="I538" s="458"/>
      <c r="J538" s="458"/>
      <c r="K538" s="458"/>
      <c r="L538" s="458"/>
      <c r="M538" s="458"/>
      <c r="N538" s="458"/>
      <c r="O538" s="458"/>
      <c r="P538" s="458"/>
      <c r="Q538" s="458"/>
      <c r="R538" s="458"/>
      <c r="S538" s="458"/>
      <c r="T538" s="458"/>
      <c r="U538" s="458"/>
      <c r="V538" s="458"/>
      <c r="W538" s="458"/>
    </row>
    <row r="539" spans="1:23" ht="15.75" customHeight="1">
      <c r="A539" s="458"/>
      <c r="B539" s="458"/>
      <c r="C539" s="458"/>
      <c r="D539" s="458"/>
      <c r="E539" s="458"/>
      <c r="F539" s="458"/>
      <c r="G539" s="458"/>
      <c r="H539" s="458"/>
      <c r="I539" s="458"/>
      <c r="J539" s="458"/>
      <c r="K539" s="458"/>
      <c r="L539" s="458"/>
      <c r="M539" s="458"/>
      <c r="N539" s="458"/>
      <c r="O539" s="458"/>
      <c r="P539" s="458"/>
      <c r="Q539" s="458"/>
      <c r="R539" s="458"/>
      <c r="S539" s="458"/>
      <c r="T539" s="458"/>
      <c r="U539" s="458"/>
      <c r="V539" s="458"/>
      <c r="W539" s="458"/>
    </row>
    <row r="540" spans="1:23" ht="15.75" customHeight="1">
      <c r="A540" s="458"/>
      <c r="B540" s="458"/>
      <c r="C540" s="458"/>
      <c r="D540" s="458"/>
      <c r="E540" s="458"/>
      <c r="F540" s="458"/>
      <c r="G540" s="458"/>
      <c r="H540" s="458"/>
      <c r="I540" s="458"/>
      <c r="J540" s="458"/>
      <c r="K540" s="458"/>
      <c r="L540" s="458"/>
      <c r="M540" s="458"/>
      <c r="N540" s="458"/>
      <c r="O540" s="458"/>
      <c r="P540" s="458"/>
      <c r="Q540" s="458"/>
      <c r="R540" s="458"/>
      <c r="S540" s="458"/>
      <c r="T540" s="458"/>
      <c r="U540" s="458"/>
      <c r="V540" s="458"/>
      <c r="W540" s="458"/>
    </row>
    <row r="541" spans="1:23" ht="15.75" customHeight="1">
      <c r="A541" s="458"/>
      <c r="B541" s="458"/>
      <c r="C541" s="458"/>
      <c r="D541" s="458"/>
      <c r="E541" s="458"/>
      <c r="F541" s="458"/>
      <c r="G541" s="458"/>
      <c r="H541" s="458"/>
      <c r="I541" s="458"/>
      <c r="J541" s="458"/>
      <c r="K541" s="458"/>
      <c r="L541" s="458"/>
      <c r="M541" s="458"/>
      <c r="N541" s="458"/>
      <c r="O541" s="458"/>
      <c r="P541" s="458"/>
      <c r="Q541" s="458"/>
      <c r="R541" s="458"/>
      <c r="S541" s="458"/>
      <c r="T541" s="458"/>
      <c r="U541" s="458"/>
      <c r="V541" s="458"/>
      <c r="W541" s="458"/>
    </row>
    <row r="542" spans="1:23" ht="15.75" customHeight="1">
      <c r="A542" s="458"/>
      <c r="B542" s="458"/>
      <c r="C542" s="458"/>
      <c r="D542" s="458"/>
      <c r="E542" s="458"/>
      <c r="F542" s="458"/>
      <c r="G542" s="458"/>
      <c r="H542" s="458"/>
      <c r="I542" s="458"/>
      <c r="J542" s="458"/>
      <c r="K542" s="458"/>
      <c r="L542" s="458"/>
      <c r="M542" s="458"/>
      <c r="N542" s="458"/>
      <c r="O542" s="458"/>
      <c r="P542" s="458"/>
      <c r="Q542" s="458"/>
      <c r="R542" s="458"/>
      <c r="S542" s="458"/>
      <c r="T542" s="458"/>
      <c r="U542" s="458"/>
      <c r="V542" s="458"/>
      <c r="W542" s="458"/>
    </row>
    <row r="543" spans="1:23" ht="15.75" customHeight="1">
      <c r="A543" s="458"/>
      <c r="B543" s="458"/>
      <c r="C543" s="458"/>
      <c r="D543" s="458"/>
      <c r="E543" s="458"/>
      <c r="F543" s="458"/>
      <c r="G543" s="458"/>
      <c r="H543" s="458"/>
      <c r="I543" s="458"/>
      <c r="J543" s="458"/>
      <c r="K543" s="458"/>
      <c r="L543" s="458"/>
      <c r="M543" s="458"/>
      <c r="N543" s="458"/>
      <c r="O543" s="458"/>
      <c r="P543" s="458"/>
      <c r="Q543" s="458"/>
      <c r="R543" s="458"/>
      <c r="S543" s="458"/>
      <c r="T543" s="458"/>
      <c r="U543" s="458"/>
      <c r="V543" s="458"/>
      <c r="W543" s="458"/>
    </row>
    <row r="544" spans="1:23" ht="15.75" customHeight="1">
      <c r="A544" s="458"/>
      <c r="B544" s="458"/>
      <c r="C544" s="458"/>
      <c r="D544" s="458"/>
      <c r="E544" s="458"/>
      <c r="F544" s="458"/>
      <c r="G544" s="458"/>
      <c r="H544" s="458"/>
      <c r="I544" s="458"/>
      <c r="J544" s="458"/>
      <c r="K544" s="458"/>
      <c r="L544" s="458"/>
      <c r="M544" s="458"/>
      <c r="N544" s="458"/>
      <c r="O544" s="458"/>
      <c r="P544" s="458"/>
      <c r="Q544" s="458"/>
      <c r="R544" s="458"/>
      <c r="S544" s="458"/>
      <c r="T544" s="458"/>
      <c r="U544" s="458"/>
      <c r="V544" s="458"/>
      <c r="W544" s="458"/>
    </row>
    <row r="545" spans="1:23" ht="15.75" customHeight="1">
      <c r="A545" s="458"/>
      <c r="B545" s="458"/>
      <c r="C545" s="458"/>
      <c r="D545" s="458"/>
      <c r="E545" s="458"/>
      <c r="F545" s="458"/>
      <c r="G545" s="458"/>
      <c r="H545" s="458"/>
      <c r="I545" s="458"/>
      <c r="J545" s="458"/>
      <c r="K545" s="458"/>
      <c r="L545" s="458"/>
      <c r="M545" s="458"/>
      <c r="N545" s="458"/>
      <c r="O545" s="458"/>
      <c r="P545" s="458"/>
      <c r="Q545" s="458"/>
      <c r="R545" s="458"/>
      <c r="S545" s="458"/>
      <c r="T545" s="458"/>
      <c r="U545" s="458"/>
      <c r="V545" s="458"/>
      <c r="W545" s="458"/>
    </row>
    <row r="546" spans="1:23" ht="15.75" customHeight="1">
      <c r="A546" s="458"/>
      <c r="B546" s="458"/>
      <c r="C546" s="458"/>
      <c r="D546" s="458"/>
      <c r="E546" s="458"/>
      <c r="F546" s="458"/>
      <c r="G546" s="458"/>
      <c r="H546" s="458"/>
      <c r="I546" s="458"/>
      <c r="J546" s="458"/>
      <c r="K546" s="458"/>
      <c r="L546" s="458"/>
      <c r="M546" s="458"/>
      <c r="N546" s="458"/>
      <c r="O546" s="458"/>
      <c r="P546" s="458"/>
      <c r="Q546" s="458"/>
      <c r="R546" s="458"/>
      <c r="S546" s="458"/>
      <c r="T546" s="458"/>
      <c r="U546" s="458"/>
      <c r="V546" s="458"/>
      <c r="W546" s="458"/>
    </row>
    <row r="547" spans="1:23" ht="15.75" customHeight="1">
      <c r="A547" s="458"/>
      <c r="B547" s="458"/>
      <c r="C547" s="458"/>
      <c r="D547" s="458"/>
      <c r="E547" s="458"/>
      <c r="F547" s="458"/>
      <c r="G547" s="458"/>
      <c r="H547" s="458"/>
      <c r="I547" s="458"/>
      <c r="J547" s="458"/>
      <c r="K547" s="458"/>
      <c r="L547" s="458"/>
      <c r="M547" s="458"/>
      <c r="N547" s="458"/>
      <c r="O547" s="458"/>
      <c r="P547" s="458"/>
      <c r="Q547" s="458"/>
      <c r="R547" s="458"/>
      <c r="S547" s="458"/>
      <c r="T547" s="458"/>
      <c r="U547" s="458"/>
      <c r="V547" s="458"/>
      <c r="W547" s="458"/>
    </row>
    <row r="548" spans="1:23" ht="15.75" customHeight="1">
      <c r="A548" s="458"/>
      <c r="B548" s="458"/>
      <c r="C548" s="458"/>
      <c r="D548" s="458"/>
      <c r="E548" s="458"/>
      <c r="F548" s="458"/>
      <c r="G548" s="458"/>
      <c r="H548" s="458"/>
      <c r="I548" s="458"/>
      <c r="J548" s="458"/>
      <c r="K548" s="458"/>
      <c r="L548" s="458"/>
      <c r="M548" s="458"/>
      <c r="N548" s="458"/>
      <c r="O548" s="458"/>
      <c r="P548" s="458"/>
      <c r="Q548" s="458"/>
      <c r="R548" s="458"/>
      <c r="S548" s="458"/>
      <c r="T548" s="458"/>
      <c r="U548" s="458"/>
      <c r="V548" s="458"/>
      <c r="W548" s="458"/>
    </row>
    <row r="549" spans="1:23" ht="15.75" customHeight="1">
      <c r="A549" s="458"/>
      <c r="B549" s="458"/>
      <c r="C549" s="458"/>
      <c r="D549" s="458"/>
      <c r="E549" s="458"/>
      <c r="F549" s="458"/>
      <c r="G549" s="458"/>
      <c r="H549" s="458"/>
      <c r="I549" s="458"/>
      <c r="J549" s="458"/>
      <c r="K549" s="458"/>
      <c r="L549" s="458"/>
      <c r="M549" s="458"/>
      <c r="N549" s="458"/>
      <c r="O549" s="458"/>
      <c r="P549" s="458"/>
      <c r="Q549" s="458"/>
      <c r="R549" s="458"/>
      <c r="S549" s="458"/>
      <c r="T549" s="458"/>
      <c r="U549" s="458"/>
      <c r="V549" s="458"/>
      <c r="W549" s="458"/>
    </row>
    <row r="550" spans="1:23" ht="15.75" customHeight="1">
      <c r="A550" s="458"/>
      <c r="B550" s="458"/>
      <c r="C550" s="458"/>
      <c r="D550" s="458"/>
      <c r="E550" s="458"/>
      <c r="F550" s="458"/>
      <c r="G550" s="458"/>
      <c r="H550" s="458"/>
      <c r="I550" s="458"/>
      <c r="J550" s="458"/>
      <c r="K550" s="458"/>
      <c r="L550" s="458"/>
      <c r="M550" s="458"/>
      <c r="N550" s="458"/>
      <c r="O550" s="458"/>
      <c r="P550" s="458"/>
      <c r="Q550" s="458"/>
      <c r="R550" s="458"/>
      <c r="S550" s="458"/>
      <c r="T550" s="458"/>
      <c r="U550" s="458"/>
      <c r="V550" s="458"/>
      <c r="W550" s="458"/>
    </row>
    <row r="551" spans="1:23" ht="15.75" customHeight="1">
      <c r="A551" s="458"/>
      <c r="B551" s="458"/>
      <c r="C551" s="458"/>
      <c r="D551" s="458"/>
      <c r="E551" s="458"/>
      <c r="F551" s="458"/>
      <c r="G551" s="458"/>
      <c r="H551" s="458"/>
      <c r="I551" s="458"/>
      <c r="J551" s="458"/>
      <c r="K551" s="458"/>
      <c r="L551" s="458"/>
      <c r="M551" s="458"/>
      <c r="N551" s="458"/>
      <c r="O551" s="458"/>
      <c r="P551" s="458"/>
      <c r="Q551" s="458"/>
      <c r="R551" s="458"/>
      <c r="S551" s="458"/>
      <c r="T551" s="458"/>
      <c r="U551" s="458"/>
      <c r="V551" s="458"/>
      <c r="W551" s="458"/>
    </row>
    <row r="552" spans="1:23" ht="15.75" customHeight="1">
      <c r="A552" s="458"/>
      <c r="B552" s="458"/>
      <c r="C552" s="458"/>
      <c r="D552" s="458"/>
      <c r="E552" s="458"/>
      <c r="F552" s="458"/>
      <c r="G552" s="458"/>
      <c r="H552" s="458"/>
      <c r="I552" s="458"/>
      <c r="J552" s="458"/>
      <c r="K552" s="458"/>
      <c r="L552" s="458"/>
      <c r="M552" s="458"/>
      <c r="N552" s="458"/>
      <c r="O552" s="458"/>
      <c r="P552" s="458"/>
      <c r="Q552" s="458"/>
      <c r="R552" s="458"/>
      <c r="S552" s="458"/>
      <c r="T552" s="458"/>
      <c r="U552" s="458"/>
      <c r="V552" s="458"/>
      <c r="W552" s="458"/>
    </row>
    <row r="553" spans="1:23" ht="15.75" customHeight="1">
      <c r="A553" s="458"/>
      <c r="B553" s="458"/>
      <c r="C553" s="458"/>
      <c r="D553" s="458"/>
      <c r="E553" s="458"/>
      <c r="F553" s="458"/>
      <c r="G553" s="458"/>
      <c r="H553" s="458"/>
      <c r="I553" s="458"/>
      <c r="J553" s="458"/>
      <c r="K553" s="458"/>
      <c r="L553" s="458"/>
      <c r="M553" s="458"/>
      <c r="N553" s="458"/>
      <c r="O553" s="458"/>
      <c r="P553" s="458"/>
      <c r="Q553" s="458"/>
      <c r="R553" s="458"/>
      <c r="S553" s="458"/>
      <c r="T553" s="458"/>
      <c r="U553" s="458"/>
      <c r="V553" s="458"/>
      <c r="W553" s="458"/>
    </row>
    <row r="554" spans="1:23" ht="15.75" customHeight="1">
      <c r="A554" s="458"/>
      <c r="B554" s="458"/>
      <c r="C554" s="458"/>
      <c r="D554" s="458"/>
      <c r="E554" s="458"/>
      <c r="F554" s="458"/>
      <c r="G554" s="458"/>
      <c r="H554" s="458"/>
      <c r="I554" s="458"/>
      <c r="J554" s="458"/>
      <c r="K554" s="458"/>
      <c r="L554" s="458"/>
      <c r="M554" s="458"/>
      <c r="N554" s="458"/>
      <c r="O554" s="458"/>
      <c r="P554" s="458"/>
      <c r="Q554" s="458"/>
      <c r="R554" s="458"/>
      <c r="S554" s="458"/>
      <c r="T554" s="458"/>
      <c r="U554" s="458"/>
      <c r="V554" s="458"/>
      <c r="W554" s="458"/>
    </row>
    <row r="555" spans="1:23" ht="15.75" customHeight="1">
      <c r="A555" s="458"/>
      <c r="B555" s="458"/>
      <c r="C555" s="458"/>
      <c r="D555" s="458"/>
      <c r="E555" s="458"/>
      <c r="F555" s="458"/>
      <c r="G555" s="458"/>
      <c r="H555" s="458"/>
      <c r="I555" s="458"/>
      <c r="J555" s="458"/>
      <c r="K555" s="458"/>
      <c r="L555" s="458"/>
      <c r="M555" s="458"/>
      <c r="N555" s="458"/>
      <c r="O555" s="458"/>
      <c r="P555" s="458"/>
      <c r="Q555" s="458"/>
      <c r="R555" s="458"/>
      <c r="S555" s="458"/>
      <c r="T555" s="458"/>
      <c r="U555" s="458"/>
      <c r="V555" s="458"/>
      <c r="W555" s="458"/>
    </row>
    <row r="556" spans="1:23" ht="15.75" customHeight="1">
      <c r="A556" s="458"/>
      <c r="B556" s="458"/>
      <c r="C556" s="458"/>
      <c r="D556" s="458"/>
      <c r="E556" s="458"/>
      <c r="F556" s="458"/>
      <c r="G556" s="458"/>
      <c r="H556" s="458"/>
      <c r="I556" s="458"/>
      <c r="J556" s="458"/>
      <c r="K556" s="458"/>
      <c r="L556" s="458"/>
      <c r="M556" s="458"/>
      <c r="N556" s="458"/>
      <c r="O556" s="458"/>
      <c r="P556" s="458"/>
      <c r="Q556" s="458"/>
      <c r="R556" s="458"/>
      <c r="S556" s="458"/>
      <c r="T556" s="458"/>
      <c r="U556" s="458"/>
      <c r="V556" s="458"/>
      <c r="W556" s="458"/>
    </row>
    <row r="557" spans="1:23" ht="15.75" customHeight="1">
      <c r="A557" s="458"/>
      <c r="B557" s="458"/>
      <c r="C557" s="458"/>
      <c r="D557" s="458"/>
      <c r="E557" s="458"/>
      <c r="F557" s="458"/>
      <c r="G557" s="458"/>
      <c r="H557" s="458"/>
      <c r="I557" s="458"/>
      <c r="J557" s="458"/>
      <c r="K557" s="458"/>
      <c r="L557" s="458"/>
      <c r="M557" s="458"/>
      <c r="N557" s="458"/>
      <c r="O557" s="458"/>
      <c r="P557" s="458"/>
      <c r="Q557" s="458"/>
      <c r="R557" s="458"/>
      <c r="S557" s="458"/>
      <c r="T557" s="458"/>
      <c r="U557" s="458"/>
      <c r="V557" s="458"/>
      <c r="W557" s="458"/>
    </row>
    <row r="558" spans="1:23" ht="15.75" customHeight="1">
      <c r="A558" s="458"/>
      <c r="B558" s="458"/>
      <c r="C558" s="458"/>
      <c r="D558" s="458"/>
      <c r="E558" s="458"/>
      <c r="F558" s="458"/>
      <c r="G558" s="458"/>
      <c r="H558" s="458"/>
      <c r="I558" s="458"/>
      <c r="J558" s="458"/>
      <c r="K558" s="458"/>
      <c r="L558" s="458"/>
      <c r="M558" s="458"/>
      <c r="N558" s="458"/>
      <c r="O558" s="458"/>
      <c r="P558" s="458"/>
      <c r="Q558" s="458"/>
      <c r="R558" s="458"/>
      <c r="S558" s="458"/>
      <c r="T558" s="458"/>
      <c r="U558" s="458"/>
      <c r="V558" s="458"/>
      <c r="W558" s="458"/>
    </row>
    <row r="559" spans="1:23" ht="15.75" customHeight="1">
      <c r="A559" s="458"/>
      <c r="B559" s="458"/>
      <c r="C559" s="458"/>
      <c r="D559" s="458"/>
      <c r="E559" s="458"/>
      <c r="F559" s="458"/>
      <c r="G559" s="458"/>
      <c r="H559" s="458"/>
      <c r="I559" s="458"/>
      <c r="J559" s="458"/>
      <c r="K559" s="458"/>
      <c r="L559" s="458"/>
      <c r="M559" s="458"/>
      <c r="N559" s="458"/>
      <c r="O559" s="458"/>
      <c r="P559" s="458"/>
      <c r="Q559" s="458"/>
      <c r="R559" s="458"/>
      <c r="S559" s="458"/>
      <c r="T559" s="458"/>
      <c r="U559" s="458"/>
      <c r="V559" s="458"/>
      <c r="W559" s="458"/>
    </row>
    <row r="560" spans="1:23" ht="15.75" customHeight="1">
      <c r="A560" s="458"/>
      <c r="B560" s="458"/>
      <c r="C560" s="458"/>
      <c r="D560" s="458"/>
      <c r="E560" s="458"/>
      <c r="F560" s="458"/>
      <c r="G560" s="458"/>
      <c r="H560" s="458"/>
      <c r="I560" s="458"/>
      <c r="J560" s="458"/>
      <c r="K560" s="458"/>
      <c r="L560" s="458"/>
      <c r="M560" s="458"/>
      <c r="N560" s="458"/>
      <c r="O560" s="458"/>
      <c r="P560" s="458"/>
      <c r="Q560" s="458"/>
      <c r="R560" s="458"/>
      <c r="S560" s="458"/>
      <c r="T560" s="458"/>
      <c r="U560" s="458"/>
      <c r="V560" s="458"/>
      <c r="W560" s="458"/>
    </row>
    <row r="561" spans="1:23" ht="15.75" customHeight="1">
      <c r="A561" s="458"/>
      <c r="B561" s="458"/>
      <c r="C561" s="458"/>
      <c r="D561" s="458"/>
      <c r="E561" s="458"/>
      <c r="F561" s="458"/>
      <c r="G561" s="458"/>
      <c r="H561" s="458"/>
      <c r="I561" s="458"/>
      <c r="J561" s="458"/>
      <c r="K561" s="458"/>
      <c r="L561" s="458"/>
      <c r="M561" s="458"/>
      <c r="N561" s="458"/>
      <c r="O561" s="458"/>
      <c r="P561" s="458"/>
      <c r="Q561" s="458"/>
      <c r="R561" s="458"/>
      <c r="S561" s="458"/>
      <c r="T561" s="458"/>
      <c r="U561" s="458"/>
      <c r="V561" s="458"/>
      <c r="W561" s="458"/>
    </row>
    <row r="562" spans="1:23" ht="15.75" customHeight="1">
      <c r="A562" s="458"/>
      <c r="B562" s="458"/>
      <c r="C562" s="458"/>
      <c r="D562" s="458"/>
      <c r="E562" s="458"/>
      <c r="F562" s="458"/>
      <c r="G562" s="458"/>
      <c r="H562" s="458"/>
      <c r="I562" s="458"/>
      <c r="J562" s="458"/>
      <c r="K562" s="458"/>
      <c r="L562" s="458"/>
      <c r="M562" s="458"/>
      <c r="N562" s="458"/>
      <c r="O562" s="458"/>
      <c r="P562" s="458"/>
      <c r="Q562" s="458"/>
      <c r="R562" s="458"/>
      <c r="S562" s="458"/>
      <c r="T562" s="458"/>
      <c r="U562" s="458"/>
      <c r="V562" s="458"/>
      <c r="W562" s="458"/>
    </row>
    <row r="563" spans="1:23" ht="15.75" customHeight="1">
      <c r="A563" s="458"/>
      <c r="B563" s="458"/>
      <c r="C563" s="458"/>
      <c r="D563" s="458"/>
      <c r="E563" s="458"/>
      <c r="F563" s="458"/>
      <c r="G563" s="458"/>
      <c r="H563" s="458"/>
      <c r="I563" s="458"/>
      <c r="J563" s="458"/>
      <c r="K563" s="458"/>
      <c r="L563" s="458"/>
      <c r="M563" s="458"/>
      <c r="N563" s="458"/>
      <c r="O563" s="458"/>
      <c r="P563" s="458"/>
      <c r="Q563" s="458"/>
      <c r="R563" s="458"/>
      <c r="S563" s="458"/>
      <c r="T563" s="458"/>
      <c r="U563" s="458"/>
      <c r="V563" s="458"/>
      <c r="W563" s="458"/>
    </row>
    <row r="564" spans="1:23" ht="15.75" customHeight="1">
      <c r="A564" s="458"/>
      <c r="B564" s="458"/>
      <c r="C564" s="458"/>
      <c r="D564" s="458"/>
      <c r="E564" s="458"/>
      <c r="F564" s="458"/>
      <c r="G564" s="458"/>
      <c r="H564" s="458"/>
      <c r="I564" s="458"/>
      <c r="J564" s="458"/>
      <c r="K564" s="458"/>
      <c r="L564" s="458"/>
      <c r="M564" s="458"/>
      <c r="N564" s="458"/>
      <c r="O564" s="458"/>
      <c r="P564" s="458"/>
      <c r="Q564" s="458"/>
      <c r="R564" s="458"/>
      <c r="S564" s="458"/>
      <c r="T564" s="458"/>
      <c r="U564" s="458"/>
      <c r="V564" s="458"/>
      <c r="W564" s="458"/>
    </row>
    <row r="565" spans="1:23" ht="15.75" customHeight="1">
      <c r="A565" s="458"/>
      <c r="B565" s="458"/>
      <c r="C565" s="458"/>
      <c r="D565" s="458"/>
      <c r="E565" s="458"/>
      <c r="F565" s="458"/>
      <c r="G565" s="458"/>
      <c r="H565" s="458"/>
      <c r="I565" s="458"/>
      <c r="J565" s="458"/>
      <c r="K565" s="458"/>
      <c r="L565" s="458"/>
      <c r="M565" s="458"/>
      <c r="N565" s="458"/>
      <c r="O565" s="458"/>
      <c r="P565" s="458"/>
      <c r="Q565" s="458"/>
      <c r="R565" s="458"/>
      <c r="S565" s="458"/>
      <c r="T565" s="458"/>
      <c r="U565" s="458"/>
      <c r="V565" s="458"/>
      <c r="W565" s="458"/>
    </row>
    <row r="566" spans="1:23" ht="15.75" customHeight="1">
      <c r="A566" s="458"/>
      <c r="B566" s="458"/>
      <c r="C566" s="458"/>
      <c r="D566" s="458"/>
      <c r="E566" s="458"/>
      <c r="F566" s="458"/>
      <c r="G566" s="458"/>
      <c r="H566" s="458"/>
      <c r="I566" s="458"/>
      <c r="J566" s="458"/>
      <c r="K566" s="458"/>
      <c r="L566" s="458"/>
      <c r="M566" s="458"/>
      <c r="N566" s="458"/>
      <c r="O566" s="458"/>
      <c r="P566" s="458"/>
      <c r="Q566" s="458"/>
      <c r="R566" s="458"/>
      <c r="S566" s="458"/>
      <c r="T566" s="458"/>
      <c r="U566" s="458"/>
      <c r="V566" s="458"/>
      <c r="W566" s="458"/>
    </row>
    <row r="567" spans="1:23" ht="15.75" customHeight="1">
      <c r="A567" s="458"/>
      <c r="B567" s="458"/>
      <c r="C567" s="458"/>
      <c r="D567" s="458"/>
      <c r="E567" s="458"/>
      <c r="F567" s="458"/>
      <c r="G567" s="458"/>
      <c r="H567" s="458"/>
      <c r="I567" s="458"/>
      <c r="J567" s="458"/>
      <c r="K567" s="458"/>
      <c r="L567" s="458"/>
      <c r="M567" s="458"/>
      <c r="N567" s="458"/>
      <c r="O567" s="458"/>
      <c r="P567" s="458"/>
      <c r="Q567" s="458"/>
      <c r="R567" s="458"/>
      <c r="S567" s="458"/>
      <c r="T567" s="458"/>
      <c r="U567" s="458"/>
      <c r="V567" s="458"/>
      <c r="W567" s="458"/>
    </row>
    <row r="568" spans="1:23" ht="15.75" customHeight="1">
      <c r="A568" s="458"/>
      <c r="B568" s="458"/>
      <c r="C568" s="458"/>
      <c r="D568" s="458"/>
      <c r="E568" s="458"/>
      <c r="F568" s="458"/>
      <c r="G568" s="458"/>
      <c r="H568" s="458"/>
      <c r="I568" s="458"/>
      <c r="J568" s="458"/>
      <c r="K568" s="458"/>
      <c r="L568" s="458"/>
      <c r="M568" s="458"/>
      <c r="N568" s="458"/>
      <c r="O568" s="458"/>
      <c r="P568" s="458"/>
      <c r="Q568" s="458"/>
      <c r="R568" s="458"/>
      <c r="S568" s="458"/>
      <c r="T568" s="458"/>
      <c r="U568" s="458"/>
      <c r="V568" s="458"/>
      <c r="W568" s="458"/>
    </row>
    <row r="569" spans="1:23" ht="15.75" customHeight="1">
      <c r="A569" s="458"/>
      <c r="B569" s="458"/>
      <c r="C569" s="458"/>
      <c r="D569" s="458"/>
      <c r="E569" s="458"/>
      <c r="F569" s="458"/>
      <c r="G569" s="458"/>
      <c r="H569" s="458"/>
      <c r="I569" s="458"/>
      <c r="J569" s="458"/>
      <c r="K569" s="458"/>
      <c r="L569" s="458"/>
      <c r="M569" s="458"/>
      <c r="N569" s="458"/>
      <c r="O569" s="458"/>
      <c r="P569" s="458"/>
      <c r="Q569" s="458"/>
      <c r="R569" s="458"/>
      <c r="S569" s="458"/>
      <c r="T569" s="458"/>
      <c r="U569" s="458"/>
      <c r="V569" s="458"/>
      <c r="W569" s="458"/>
    </row>
    <row r="570" spans="1:23" ht="15.75" customHeight="1">
      <c r="A570" s="458"/>
      <c r="B570" s="458"/>
      <c r="C570" s="458"/>
      <c r="D570" s="458"/>
      <c r="E570" s="458"/>
      <c r="F570" s="458"/>
      <c r="G570" s="458"/>
      <c r="H570" s="458"/>
      <c r="I570" s="458"/>
      <c r="J570" s="458"/>
      <c r="K570" s="458"/>
      <c r="L570" s="458"/>
      <c r="M570" s="458"/>
      <c r="N570" s="458"/>
      <c r="O570" s="458"/>
      <c r="P570" s="458"/>
      <c r="Q570" s="458"/>
      <c r="R570" s="458"/>
      <c r="S570" s="458"/>
      <c r="T570" s="458"/>
      <c r="U570" s="458"/>
      <c r="V570" s="458"/>
      <c r="W570" s="458"/>
    </row>
    <row r="571" spans="1:23" ht="15.75" customHeight="1">
      <c r="A571" s="458"/>
      <c r="B571" s="458"/>
      <c r="C571" s="458"/>
      <c r="D571" s="458"/>
      <c r="E571" s="458"/>
      <c r="F571" s="458"/>
      <c r="G571" s="458"/>
      <c r="H571" s="458"/>
      <c r="I571" s="458"/>
      <c r="J571" s="458"/>
      <c r="K571" s="458"/>
      <c r="L571" s="458"/>
      <c r="M571" s="458"/>
      <c r="N571" s="458"/>
      <c r="O571" s="458"/>
      <c r="P571" s="458"/>
      <c r="Q571" s="458"/>
      <c r="R571" s="458"/>
      <c r="S571" s="458"/>
      <c r="T571" s="458"/>
      <c r="U571" s="458"/>
      <c r="V571" s="458"/>
      <c r="W571" s="458"/>
    </row>
    <row r="572" spans="1:23" ht="15.75" customHeight="1">
      <c r="A572" s="458"/>
      <c r="B572" s="458"/>
      <c r="C572" s="458"/>
      <c r="D572" s="458"/>
      <c r="E572" s="458"/>
      <c r="F572" s="458"/>
      <c r="G572" s="458"/>
      <c r="H572" s="458"/>
      <c r="I572" s="458"/>
      <c r="J572" s="458"/>
      <c r="K572" s="458"/>
      <c r="L572" s="458"/>
      <c r="M572" s="458"/>
      <c r="N572" s="458"/>
      <c r="O572" s="458"/>
      <c r="P572" s="458"/>
      <c r="Q572" s="458"/>
      <c r="R572" s="458"/>
      <c r="S572" s="458"/>
      <c r="T572" s="458"/>
      <c r="U572" s="458"/>
      <c r="V572" s="458"/>
      <c r="W572" s="458"/>
    </row>
    <row r="573" spans="1:23" ht="15.75" customHeight="1">
      <c r="A573" s="458"/>
      <c r="B573" s="458"/>
      <c r="C573" s="458"/>
      <c r="D573" s="458"/>
      <c r="E573" s="458"/>
      <c r="F573" s="458"/>
      <c r="G573" s="458"/>
      <c r="H573" s="458"/>
      <c r="I573" s="458"/>
      <c r="J573" s="458"/>
      <c r="K573" s="458"/>
      <c r="L573" s="458"/>
      <c r="M573" s="458"/>
      <c r="N573" s="458"/>
      <c r="O573" s="458"/>
      <c r="P573" s="458"/>
      <c r="Q573" s="458"/>
      <c r="R573" s="458"/>
      <c r="S573" s="458"/>
      <c r="T573" s="458"/>
      <c r="U573" s="458"/>
      <c r="V573" s="458"/>
      <c r="W573" s="458"/>
    </row>
    <row r="574" spans="1:23" ht="15.75" customHeight="1">
      <c r="A574" s="458"/>
      <c r="B574" s="458"/>
      <c r="C574" s="458"/>
      <c r="D574" s="458"/>
      <c r="E574" s="458"/>
      <c r="F574" s="458"/>
      <c r="G574" s="458"/>
      <c r="H574" s="458"/>
      <c r="I574" s="458"/>
      <c r="J574" s="458"/>
      <c r="K574" s="458"/>
      <c r="L574" s="458"/>
      <c r="M574" s="458"/>
      <c r="N574" s="458"/>
      <c r="O574" s="458"/>
      <c r="P574" s="458"/>
      <c r="Q574" s="458"/>
      <c r="R574" s="458"/>
      <c r="S574" s="458"/>
      <c r="T574" s="458"/>
      <c r="U574" s="458"/>
      <c r="V574" s="458"/>
      <c r="W574" s="458"/>
    </row>
    <row r="575" spans="1:23" ht="15.75" customHeight="1">
      <c r="A575" s="458"/>
      <c r="B575" s="458"/>
      <c r="C575" s="458"/>
      <c r="D575" s="458"/>
      <c r="E575" s="458"/>
      <c r="F575" s="458"/>
      <c r="G575" s="458"/>
      <c r="H575" s="458"/>
      <c r="I575" s="458"/>
      <c r="J575" s="458"/>
      <c r="K575" s="458"/>
      <c r="L575" s="458"/>
      <c r="M575" s="458"/>
      <c r="N575" s="458"/>
      <c r="O575" s="458"/>
      <c r="P575" s="458"/>
      <c r="Q575" s="458"/>
      <c r="R575" s="458"/>
      <c r="S575" s="458"/>
      <c r="T575" s="458"/>
      <c r="U575" s="458"/>
      <c r="V575" s="458"/>
      <c r="W575" s="458"/>
    </row>
    <row r="576" spans="1:23" ht="15.75" customHeight="1">
      <c r="A576" s="458"/>
      <c r="B576" s="458"/>
      <c r="C576" s="458"/>
      <c r="D576" s="458"/>
      <c r="E576" s="458"/>
      <c r="F576" s="458"/>
      <c r="G576" s="458"/>
      <c r="H576" s="458"/>
      <c r="I576" s="458"/>
      <c r="J576" s="458"/>
      <c r="K576" s="458"/>
      <c r="L576" s="458"/>
      <c r="M576" s="458"/>
      <c r="N576" s="458"/>
      <c r="O576" s="458"/>
      <c r="P576" s="458"/>
      <c r="Q576" s="458"/>
      <c r="R576" s="458"/>
      <c r="S576" s="458"/>
      <c r="T576" s="458"/>
      <c r="U576" s="458"/>
      <c r="V576" s="458"/>
      <c r="W576" s="458"/>
    </row>
    <row r="577" spans="1:23" ht="15.75" customHeight="1">
      <c r="A577" s="458"/>
      <c r="B577" s="458"/>
      <c r="C577" s="458"/>
      <c r="D577" s="458"/>
      <c r="E577" s="458"/>
      <c r="F577" s="458"/>
      <c r="G577" s="458"/>
      <c r="H577" s="458"/>
      <c r="I577" s="458"/>
      <c r="J577" s="458"/>
      <c r="K577" s="458"/>
      <c r="L577" s="458"/>
      <c r="M577" s="458"/>
      <c r="N577" s="458"/>
      <c r="O577" s="458"/>
      <c r="P577" s="458"/>
      <c r="Q577" s="458"/>
      <c r="R577" s="458"/>
      <c r="S577" s="458"/>
      <c r="T577" s="458"/>
      <c r="U577" s="458"/>
      <c r="V577" s="458"/>
      <c r="W577" s="458"/>
    </row>
    <row r="578" spans="1:23" ht="15.75" customHeight="1">
      <c r="A578" s="458"/>
      <c r="B578" s="458"/>
      <c r="C578" s="458"/>
      <c r="D578" s="458"/>
      <c r="E578" s="458"/>
      <c r="F578" s="458"/>
      <c r="G578" s="458"/>
      <c r="H578" s="458"/>
      <c r="I578" s="458"/>
      <c r="J578" s="458"/>
      <c r="K578" s="458"/>
      <c r="L578" s="458"/>
      <c r="M578" s="458"/>
      <c r="N578" s="458"/>
      <c r="O578" s="458"/>
      <c r="P578" s="458"/>
      <c r="Q578" s="458"/>
      <c r="R578" s="458"/>
      <c r="S578" s="458"/>
      <c r="T578" s="458"/>
      <c r="U578" s="458"/>
      <c r="V578" s="458"/>
      <c r="W578" s="458"/>
    </row>
    <row r="579" spans="1:23" ht="15.75" customHeight="1">
      <c r="A579" s="458"/>
      <c r="B579" s="458"/>
      <c r="C579" s="458"/>
      <c r="D579" s="458"/>
      <c r="E579" s="458"/>
      <c r="F579" s="458"/>
      <c r="G579" s="458"/>
      <c r="H579" s="458"/>
      <c r="I579" s="458"/>
      <c r="J579" s="458"/>
      <c r="K579" s="458"/>
      <c r="L579" s="458"/>
      <c r="M579" s="458"/>
      <c r="N579" s="458"/>
      <c r="O579" s="458"/>
      <c r="P579" s="458"/>
      <c r="Q579" s="458"/>
      <c r="R579" s="458"/>
      <c r="S579" s="458"/>
      <c r="T579" s="458"/>
      <c r="U579" s="458"/>
      <c r="V579" s="458"/>
      <c r="W579" s="458"/>
    </row>
    <row r="580" spans="1:23" ht="15.75" customHeight="1">
      <c r="A580" s="458"/>
      <c r="B580" s="458"/>
      <c r="C580" s="458"/>
      <c r="D580" s="458"/>
      <c r="E580" s="458"/>
      <c r="F580" s="458"/>
      <c r="G580" s="458"/>
      <c r="H580" s="458"/>
      <c r="I580" s="458"/>
      <c r="J580" s="458"/>
      <c r="K580" s="458"/>
      <c r="L580" s="458"/>
      <c r="M580" s="458"/>
      <c r="N580" s="458"/>
      <c r="O580" s="458"/>
      <c r="P580" s="458"/>
      <c r="Q580" s="458"/>
      <c r="R580" s="458"/>
      <c r="S580" s="458"/>
      <c r="T580" s="458"/>
      <c r="U580" s="458"/>
      <c r="V580" s="458"/>
      <c r="W580" s="458"/>
    </row>
    <row r="581" spans="1:23" ht="15.75" customHeight="1">
      <c r="A581" s="458"/>
      <c r="B581" s="458"/>
      <c r="C581" s="458"/>
      <c r="D581" s="458"/>
      <c r="E581" s="458"/>
      <c r="F581" s="458"/>
      <c r="G581" s="458"/>
      <c r="H581" s="458"/>
      <c r="I581" s="458"/>
      <c r="J581" s="458"/>
      <c r="K581" s="458"/>
      <c r="L581" s="458"/>
      <c r="M581" s="458"/>
      <c r="N581" s="458"/>
      <c r="O581" s="458"/>
      <c r="P581" s="458"/>
      <c r="Q581" s="458"/>
      <c r="R581" s="458"/>
      <c r="S581" s="458"/>
      <c r="T581" s="458"/>
      <c r="U581" s="458"/>
      <c r="V581" s="458"/>
      <c r="W581" s="458"/>
    </row>
    <row r="582" spans="1:23" ht="15.75" customHeight="1">
      <c r="A582" s="458"/>
      <c r="B582" s="458"/>
      <c r="C582" s="458"/>
      <c r="D582" s="458"/>
      <c r="E582" s="458"/>
      <c r="F582" s="458"/>
      <c r="G582" s="458"/>
      <c r="H582" s="458"/>
      <c r="I582" s="458"/>
      <c r="J582" s="458"/>
      <c r="K582" s="458"/>
      <c r="L582" s="458"/>
      <c r="M582" s="458"/>
      <c r="N582" s="458"/>
      <c r="O582" s="458"/>
      <c r="P582" s="458"/>
      <c r="Q582" s="458"/>
      <c r="R582" s="458"/>
      <c r="S582" s="458"/>
      <c r="T582" s="458"/>
      <c r="U582" s="458"/>
      <c r="V582" s="458"/>
      <c r="W582" s="458"/>
    </row>
    <row r="583" spans="1:23" ht="15.75" customHeight="1">
      <c r="A583" s="458"/>
      <c r="B583" s="458"/>
      <c r="C583" s="458"/>
      <c r="D583" s="458"/>
      <c r="E583" s="458"/>
      <c r="F583" s="458"/>
      <c r="G583" s="458"/>
      <c r="H583" s="458"/>
      <c r="I583" s="458"/>
      <c r="J583" s="458"/>
      <c r="K583" s="458"/>
      <c r="L583" s="458"/>
      <c r="M583" s="458"/>
      <c r="N583" s="458"/>
      <c r="O583" s="458"/>
      <c r="P583" s="458"/>
      <c r="Q583" s="458"/>
      <c r="R583" s="458"/>
      <c r="S583" s="458"/>
      <c r="T583" s="458"/>
      <c r="U583" s="458"/>
      <c r="V583" s="458"/>
      <c r="W583" s="458"/>
    </row>
    <row r="584" spans="1:23" ht="15.75" customHeight="1">
      <c r="A584" s="458"/>
      <c r="B584" s="458"/>
      <c r="C584" s="458"/>
      <c r="D584" s="458"/>
      <c r="E584" s="458"/>
      <c r="F584" s="458"/>
      <c r="G584" s="458"/>
      <c r="H584" s="458"/>
      <c r="I584" s="458"/>
      <c r="J584" s="458"/>
      <c r="K584" s="458"/>
      <c r="L584" s="458"/>
      <c r="M584" s="458"/>
      <c r="N584" s="458"/>
      <c r="O584" s="458"/>
      <c r="P584" s="458"/>
      <c r="Q584" s="458"/>
      <c r="R584" s="458"/>
      <c r="S584" s="458"/>
      <c r="T584" s="458"/>
      <c r="U584" s="458"/>
      <c r="V584" s="458"/>
      <c r="W584" s="458"/>
    </row>
    <row r="585" spans="1:23" ht="15.75" customHeight="1">
      <c r="A585" s="458"/>
      <c r="B585" s="458"/>
      <c r="C585" s="458"/>
      <c r="D585" s="458"/>
      <c r="E585" s="458"/>
      <c r="F585" s="458"/>
      <c r="G585" s="458"/>
      <c r="H585" s="458"/>
      <c r="I585" s="458"/>
      <c r="J585" s="458"/>
      <c r="K585" s="458"/>
      <c r="L585" s="458"/>
      <c r="M585" s="458"/>
      <c r="N585" s="458"/>
      <c r="O585" s="458"/>
      <c r="P585" s="458"/>
      <c r="Q585" s="458"/>
      <c r="R585" s="458"/>
      <c r="S585" s="458"/>
      <c r="T585" s="458"/>
      <c r="U585" s="458"/>
      <c r="V585" s="458"/>
      <c r="W585" s="458"/>
    </row>
    <row r="586" spans="1:23" ht="15.75" customHeight="1">
      <c r="A586" s="458"/>
      <c r="B586" s="458"/>
      <c r="C586" s="458"/>
      <c r="D586" s="458"/>
      <c r="E586" s="458"/>
      <c r="F586" s="458"/>
      <c r="G586" s="458"/>
      <c r="H586" s="458"/>
      <c r="I586" s="458"/>
      <c r="J586" s="458"/>
      <c r="K586" s="458"/>
      <c r="L586" s="458"/>
      <c r="M586" s="458"/>
      <c r="N586" s="458"/>
      <c r="O586" s="458"/>
      <c r="P586" s="458"/>
      <c r="Q586" s="458"/>
      <c r="R586" s="458"/>
      <c r="S586" s="458"/>
      <c r="T586" s="458"/>
      <c r="U586" s="458"/>
      <c r="V586" s="458"/>
      <c r="W586" s="458"/>
    </row>
    <row r="587" spans="1:23" ht="15.75" customHeight="1">
      <c r="A587" s="458"/>
      <c r="B587" s="458"/>
      <c r="C587" s="458"/>
      <c r="D587" s="458"/>
      <c r="E587" s="458"/>
      <c r="F587" s="458"/>
      <c r="G587" s="458"/>
      <c r="H587" s="458"/>
      <c r="I587" s="458"/>
      <c r="J587" s="458"/>
      <c r="K587" s="458"/>
      <c r="L587" s="458"/>
      <c r="M587" s="458"/>
      <c r="N587" s="458"/>
      <c r="O587" s="458"/>
      <c r="P587" s="458"/>
      <c r="Q587" s="458"/>
      <c r="R587" s="458"/>
      <c r="S587" s="458"/>
      <c r="T587" s="458"/>
      <c r="U587" s="458"/>
      <c r="V587" s="458"/>
      <c r="W587" s="458"/>
    </row>
    <row r="588" spans="1:23" ht="15.75" customHeight="1">
      <c r="A588" s="458"/>
      <c r="B588" s="458"/>
      <c r="C588" s="458"/>
      <c r="D588" s="458"/>
      <c r="E588" s="458"/>
      <c r="F588" s="458"/>
      <c r="G588" s="458"/>
      <c r="H588" s="458"/>
      <c r="I588" s="458"/>
      <c r="J588" s="458"/>
      <c r="K588" s="458"/>
      <c r="L588" s="458"/>
      <c r="M588" s="458"/>
      <c r="N588" s="458"/>
      <c r="O588" s="458"/>
      <c r="P588" s="458"/>
      <c r="Q588" s="458"/>
      <c r="R588" s="458"/>
      <c r="S588" s="458"/>
      <c r="T588" s="458"/>
      <c r="U588" s="458"/>
      <c r="V588" s="458"/>
      <c r="W588" s="458"/>
    </row>
    <row r="589" spans="1:23" ht="15.75" customHeight="1">
      <c r="A589" s="458"/>
      <c r="B589" s="458"/>
      <c r="C589" s="458"/>
      <c r="D589" s="458"/>
      <c r="E589" s="458"/>
      <c r="F589" s="458"/>
      <c r="G589" s="458"/>
      <c r="H589" s="458"/>
      <c r="I589" s="458"/>
      <c r="J589" s="458"/>
      <c r="K589" s="458"/>
      <c r="L589" s="458"/>
      <c r="M589" s="458"/>
      <c r="N589" s="458"/>
      <c r="O589" s="458"/>
      <c r="P589" s="458"/>
      <c r="Q589" s="458"/>
      <c r="R589" s="458"/>
      <c r="S589" s="458"/>
      <c r="T589" s="458"/>
      <c r="U589" s="458"/>
      <c r="V589" s="458"/>
      <c r="W589" s="458"/>
    </row>
    <row r="590" spans="1:23" ht="15.75" customHeight="1">
      <c r="A590" s="458"/>
      <c r="B590" s="458"/>
      <c r="C590" s="458"/>
      <c r="D590" s="458"/>
      <c r="E590" s="458"/>
      <c r="F590" s="458"/>
      <c r="G590" s="458"/>
      <c r="H590" s="458"/>
      <c r="I590" s="458"/>
      <c r="J590" s="458"/>
      <c r="K590" s="458"/>
      <c r="L590" s="458"/>
      <c r="M590" s="458"/>
      <c r="N590" s="458"/>
      <c r="O590" s="458"/>
      <c r="P590" s="458"/>
      <c r="Q590" s="458"/>
      <c r="R590" s="458"/>
      <c r="S590" s="458"/>
      <c r="T590" s="458"/>
      <c r="U590" s="458"/>
      <c r="V590" s="458"/>
      <c r="W590" s="458"/>
    </row>
    <row r="591" spans="1:23" ht="15.75" customHeight="1">
      <c r="A591" s="458"/>
      <c r="B591" s="458"/>
      <c r="C591" s="458"/>
      <c r="D591" s="458"/>
      <c r="E591" s="458"/>
      <c r="F591" s="458"/>
      <c r="G591" s="458"/>
      <c r="H591" s="458"/>
      <c r="I591" s="458"/>
      <c r="J591" s="458"/>
      <c r="K591" s="458"/>
      <c r="L591" s="458"/>
      <c r="M591" s="458"/>
      <c r="N591" s="458"/>
      <c r="O591" s="458"/>
      <c r="P591" s="458"/>
      <c r="Q591" s="458"/>
      <c r="R591" s="458"/>
      <c r="S591" s="458"/>
      <c r="T591" s="458"/>
      <c r="U591" s="458"/>
      <c r="V591" s="458"/>
      <c r="W591" s="458"/>
    </row>
    <row r="592" spans="1:23" ht="15.75" customHeight="1">
      <c r="A592" s="458"/>
      <c r="B592" s="458"/>
      <c r="C592" s="458"/>
      <c r="D592" s="458"/>
      <c r="E592" s="458"/>
      <c r="F592" s="458"/>
      <c r="G592" s="458"/>
      <c r="H592" s="458"/>
      <c r="I592" s="458"/>
      <c r="J592" s="458"/>
      <c r="K592" s="458"/>
      <c r="L592" s="458"/>
      <c r="M592" s="458"/>
      <c r="N592" s="458"/>
      <c r="O592" s="458"/>
      <c r="P592" s="458"/>
      <c r="Q592" s="458"/>
      <c r="R592" s="458"/>
      <c r="S592" s="458"/>
      <c r="T592" s="458"/>
      <c r="U592" s="458"/>
      <c r="V592" s="458"/>
      <c r="W592" s="458"/>
    </row>
    <row r="593" spans="1:23" ht="15.75" customHeight="1">
      <c r="A593" s="458"/>
      <c r="B593" s="458"/>
      <c r="C593" s="458"/>
      <c r="D593" s="458"/>
      <c r="E593" s="458"/>
      <c r="F593" s="458"/>
      <c r="G593" s="458"/>
      <c r="H593" s="458"/>
      <c r="I593" s="458"/>
      <c r="J593" s="458"/>
      <c r="K593" s="458"/>
      <c r="L593" s="458"/>
      <c r="M593" s="458"/>
      <c r="N593" s="458"/>
      <c r="O593" s="458"/>
      <c r="P593" s="458"/>
      <c r="Q593" s="458"/>
      <c r="R593" s="458"/>
      <c r="S593" s="458"/>
      <c r="T593" s="458"/>
      <c r="U593" s="458"/>
      <c r="V593" s="458"/>
      <c r="W593" s="458"/>
    </row>
    <row r="594" spans="1:23" ht="15.75" customHeight="1">
      <c r="A594" s="458"/>
      <c r="B594" s="458"/>
      <c r="C594" s="458"/>
      <c r="D594" s="458"/>
      <c r="E594" s="458"/>
      <c r="F594" s="458"/>
      <c r="G594" s="458"/>
      <c r="H594" s="458"/>
      <c r="I594" s="458"/>
      <c r="J594" s="458"/>
      <c r="K594" s="458"/>
      <c r="L594" s="458"/>
      <c r="M594" s="458"/>
      <c r="N594" s="458"/>
      <c r="O594" s="458"/>
      <c r="P594" s="458"/>
      <c r="Q594" s="458"/>
      <c r="R594" s="458"/>
      <c r="S594" s="458"/>
      <c r="T594" s="458"/>
      <c r="U594" s="458"/>
      <c r="V594" s="458"/>
      <c r="W594" s="458"/>
    </row>
    <row r="595" spans="1:23" ht="15.75" customHeight="1">
      <c r="A595" s="458"/>
      <c r="B595" s="458"/>
      <c r="C595" s="458"/>
      <c r="D595" s="458"/>
      <c r="E595" s="458"/>
      <c r="F595" s="458"/>
      <c r="G595" s="458"/>
      <c r="H595" s="458"/>
      <c r="I595" s="458"/>
      <c r="J595" s="458"/>
      <c r="K595" s="458"/>
      <c r="L595" s="458"/>
      <c r="M595" s="458"/>
      <c r="N595" s="458"/>
      <c r="O595" s="458"/>
      <c r="P595" s="458"/>
      <c r="Q595" s="458"/>
      <c r="R595" s="458"/>
      <c r="S595" s="458"/>
      <c r="T595" s="458"/>
      <c r="U595" s="458"/>
      <c r="V595" s="458"/>
      <c r="W595" s="458"/>
    </row>
    <row r="596" spans="1:23" ht="15.75" customHeight="1">
      <c r="A596" s="458"/>
      <c r="B596" s="458"/>
      <c r="C596" s="458"/>
      <c r="D596" s="458"/>
      <c r="E596" s="458"/>
      <c r="F596" s="458"/>
      <c r="G596" s="458"/>
      <c r="H596" s="458"/>
      <c r="I596" s="458"/>
      <c r="J596" s="458"/>
      <c r="K596" s="458"/>
      <c r="L596" s="458"/>
      <c r="M596" s="458"/>
      <c r="N596" s="458"/>
      <c r="O596" s="458"/>
      <c r="P596" s="458"/>
      <c r="Q596" s="458"/>
      <c r="R596" s="458"/>
      <c r="S596" s="458"/>
      <c r="T596" s="458"/>
      <c r="U596" s="458"/>
      <c r="V596" s="458"/>
      <c r="W596" s="458"/>
    </row>
    <row r="597" spans="1:23" ht="15.75" customHeight="1">
      <c r="A597" s="458"/>
      <c r="B597" s="458"/>
      <c r="C597" s="458"/>
      <c r="D597" s="458"/>
      <c r="E597" s="458"/>
      <c r="F597" s="458"/>
      <c r="G597" s="458"/>
      <c r="H597" s="458"/>
      <c r="I597" s="458"/>
      <c r="J597" s="458"/>
      <c r="K597" s="458"/>
      <c r="L597" s="458"/>
      <c r="M597" s="458"/>
      <c r="N597" s="458"/>
      <c r="O597" s="458"/>
      <c r="P597" s="458"/>
      <c r="Q597" s="458"/>
      <c r="R597" s="458"/>
      <c r="S597" s="458"/>
      <c r="T597" s="458"/>
      <c r="U597" s="458"/>
      <c r="V597" s="458"/>
      <c r="W597" s="458"/>
    </row>
    <row r="598" spans="1:23" ht="15.75" customHeight="1">
      <c r="A598" s="458"/>
      <c r="B598" s="458"/>
      <c r="C598" s="458"/>
      <c r="D598" s="458"/>
      <c r="E598" s="458"/>
      <c r="F598" s="458"/>
      <c r="G598" s="458"/>
      <c r="H598" s="458"/>
      <c r="I598" s="458"/>
      <c r="J598" s="458"/>
      <c r="K598" s="458"/>
      <c r="L598" s="458"/>
      <c r="M598" s="458"/>
      <c r="N598" s="458"/>
      <c r="O598" s="458"/>
      <c r="P598" s="458"/>
      <c r="Q598" s="458"/>
      <c r="R598" s="458"/>
      <c r="S598" s="458"/>
      <c r="T598" s="458"/>
      <c r="U598" s="458"/>
      <c r="V598" s="458"/>
      <c r="W598" s="458"/>
    </row>
    <row r="599" spans="1:23" ht="15.75" customHeight="1">
      <c r="A599" s="458"/>
      <c r="B599" s="458"/>
      <c r="C599" s="458"/>
      <c r="D599" s="458"/>
      <c r="E599" s="458"/>
      <c r="F599" s="458"/>
      <c r="G599" s="458"/>
      <c r="H599" s="458"/>
      <c r="I599" s="458"/>
      <c r="J599" s="458"/>
      <c r="K599" s="458"/>
      <c r="L599" s="458"/>
      <c r="M599" s="458"/>
      <c r="N599" s="458"/>
      <c r="O599" s="458"/>
      <c r="P599" s="458"/>
      <c r="Q599" s="458"/>
      <c r="R599" s="458"/>
      <c r="S599" s="458"/>
      <c r="T599" s="458"/>
      <c r="U599" s="458"/>
      <c r="V599" s="458"/>
      <c r="W599" s="458"/>
    </row>
    <row r="600" spans="1:23" ht="15.75" customHeight="1">
      <c r="A600" s="458"/>
      <c r="B600" s="458"/>
      <c r="C600" s="458"/>
      <c r="D600" s="458"/>
      <c r="E600" s="458"/>
      <c r="F600" s="458"/>
      <c r="G600" s="458"/>
      <c r="H600" s="458"/>
      <c r="I600" s="458"/>
      <c r="J600" s="458"/>
      <c r="K600" s="458"/>
      <c r="L600" s="458"/>
      <c r="M600" s="458"/>
      <c r="N600" s="458"/>
      <c r="O600" s="458"/>
      <c r="P600" s="458"/>
      <c r="Q600" s="458"/>
      <c r="R600" s="458"/>
      <c r="S600" s="458"/>
      <c r="T600" s="458"/>
      <c r="U600" s="458"/>
      <c r="V600" s="458"/>
      <c r="W600" s="458"/>
    </row>
    <row r="601" spans="1:23" ht="15.75" customHeight="1">
      <c r="A601" s="458"/>
      <c r="B601" s="458"/>
      <c r="C601" s="458"/>
      <c r="D601" s="458"/>
      <c r="E601" s="458"/>
      <c r="F601" s="458"/>
      <c r="G601" s="458"/>
      <c r="H601" s="458"/>
      <c r="I601" s="458"/>
      <c r="J601" s="458"/>
      <c r="K601" s="458"/>
      <c r="L601" s="458"/>
      <c r="M601" s="458"/>
      <c r="N601" s="458"/>
      <c r="O601" s="458"/>
      <c r="P601" s="458"/>
      <c r="Q601" s="458"/>
      <c r="R601" s="458"/>
      <c r="S601" s="458"/>
      <c r="T601" s="458"/>
      <c r="U601" s="458"/>
      <c r="V601" s="458"/>
      <c r="W601" s="458"/>
    </row>
    <row r="602" spans="1:23" ht="15.75" customHeight="1">
      <c r="A602" s="458"/>
      <c r="B602" s="458"/>
      <c r="C602" s="458"/>
      <c r="D602" s="458"/>
      <c r="E602" s="458"/>
      <c r="F602" s="458"/>
      <c r="G602" s="458"/>
      <c r="H602" s="458"/>
      <c r="I602" s="458"/>
      <c r="J602" s="458"/>
      <c r="K602" s="458"/>
      <c r="L602" s="458"/>
      <c r="M602" s="458"/>
      <c r="N602" s="458"/>
      <c r="O602" s="458"/>
      <c r="P602" s="458"/>
      <c r="Q602" s="458"/>
      <c r="R602" s="458"/>
      <c r="S602" s="458"/>
      <c r="T602" s="458"/>
      <c r="U602" s="458"/>
      <c r="V602" s="458"/>
      <c r="W602" s="458"/>
    </row>
    <row r="603" spans="1:23" ht="15.75" customHeight="1">
      <c r="A603" s="458"/>
      <c r="B603" s="458"/>
      <c r="C603" s="458"/>
      <c r="D603" s="458"/>
      <c r="E603" s="458"/>
      <c r="F603" s="458"/>
      <c r="G603" s="458"/>
      <c r="H603" s="458"/>
      <c r="I603" s="458"/>
      <c r="J603" s="458"/>
      <c r="K603" s="458"/>
      <c r="L603" s="458"/>
      <c r="M603" s="458"/>
      <c r="N603" s="458"/>
      <c r="O603" s="458"/>
      <c r="P603" s="458"/>
      <c r="Q603" s="458"/>
      <c r="R603" s="458"/>
      <c r="S603" s="458"/>
      <c r="T603" s="458"/>
      <c r="U603" s="458"/>
      <c r="V603" s="458"/>
      <c r="W603" s="458"/>
    </row>
    <row r="604" spans="1:23" ht="15.75" customHeight="1">
      <c r="A604" s="458"/>
      <c r="B604" s="458"/>
      <c r="C604" s="458"/>
      <c r="D604" s="458"/>
      <c r="E604" s="458"/>
      <c r="F604" s="458"/>
      <c r="G604" s="458"/>
      <c r="H604" s="458"/>
      <c r="I604" s="458"/>
      <c r="J604" s="458"/>
      <c r="K604" s="458"/>
      <c r="L604" s="458"/>
      <c r="M604" s="458"/>
      <c r="N604" s="458"/>
      <c r="O604" s="458"/>
      <c r="P604" s="458"/>
      <c r="Q604" s="458"/>
      <c r="R604" s="458"/>
      <c r="S604" s="458"/>
      <c r="T604" s="458"/>
      <c r="U604" s="458"/>
      <c r="V604" s="458"/>
      <c r="W604" s="458"/>
    </row>
    <row r="605" spans="1:23" ht="15.75" customHeight="1">
      <c r="A605" s="458"/>
      <c r="B605" s="458"/>
      <c r="C605" s="458"/>
      <c r="D605" s="458"/>
      <c r="E605" s="458"/>
      <c r="F605" s="458"/>
      <c r="G605" s="458"/>
      <c r="H605" s="458"/>
      <c r="I605" s="458"/>
      <c r="J605" s="458"/>
      <c r="K605" s="458"/>
      <c r="L605" s="458"/>
      <c r="M605" s="458"/>
      <c r="N605" s="458"/>
      <c r="O605" s="458"/>
      <c r="P605" s="458"/>
      <c r="Q605" s="458"/>
      <c r="R605" s="458"/>
      <c r="S605" s="458"/>
      <c r="T605" s="458"/>
      <c r="U605" s="458"/>
      <c r="V605" s="458"/>
      <c r="W605" s="458"/>
    </row>
    <row r="606" spans="1:23" ht="15.75" customHeight="1">
      <c r="A606" s="458"/>
      <c r="B606" s="458"/>
      <c r="C606" s="458"/>
      <c r="D606" s="458"/>
      <c r="E606" s="458"/>
      <c r="F606" s="458"/>
      <c r="G606" s="458"/>
      <c r="H606" s="458"/>
      <c r="I606" s="458"/>
      <c r="J606" s="458"/>
      <c r="K606" s="458"/>
      <c r="L606" s="458"/>
      <c r="M606" s="458"/>
      <c r="N606" s="458"/>
      <c r="O606" s="458"/>
      <c r="P606" s="458"/>
      <c r="Q606" s="458"/>
      <c r="R606" s="458"/>
      <c r="S606" s="458"/>
      <c r="T606" s="458"/>
      <c r="U606" s="458"/>
      <c r="V606" s="458"/>
      <c r="W606" s="458"/>
    </row>
    <row r="607" spans="1:23" ht="15.75" customHeight="1">
      <c r="A607" s="458"/>
      <c r="B607" s="458"/>
      <c r="C607" s="458"/>
      <c r="D607" s="458"/>
      <c r="E607" s="458"/>
      <c r="F607" s="458"/>
      <c r="G607" s="458"/>
      <c r="H607" s="458"/>
      <c r="I607" s="458"/>
      <c r="J607" s="458"/>
      <c r="K607" s="458"/>
      <c r="L607" s="458"/>
      <c r="M607" s="458"/>
      <c r="N607" s="458"/>
      <c r="O607" s="458"/>
      <c r="P607" s="458"/>
      <c r="Q607" s="458"/>
      <c r="R607" s="458"/>
      <c r="S607" s="458"/>
      <c r="T607" s="458"/>
      <c r="U607" s="458"/>
      <c r="V607" s="458"/>
      <c r="W607" s="458"/>
    </row>
    <row r="608" spans="1:23" ht="15.75" customHeight="1">
      <c r="A608" s="458"/>
      <c r="B608" s="458"/>
      <c r="C608" s="458"/>
      <c r="D608" s="458"/>
      <c r="E608" s="458"/>
      <c r="F608" s="458"/>
      <c r="G608" s="458"/>
      <c r="H608" s="458"/>
      <c r="I608" s="458"/>
      <c r="J608" s="458"/>
      <c r="K608" s="458"/>
      <c r="L608" s="458"/>
      <c r="M608" s="458"/>
      <c r="N608" s="458"/>
      <c r="O608" s="458"/>
      <c r="P608" s="458"/>
      <c r="Q608" s="458"/>
      <c r="R608" s="458"/>
      <c r="S608" s="458"/>
      <c r="T608" s="458"/>
      <c r="U608" s="458"/>
      <c r="V608" s="458"/>
      <c r="W608" s="458"/>
    </row>
    <row r="609" spans="1:23" ht="15.75" customHeight="1">
      <c r="A609" s="458"/>
      <c r="B609" s="458"/>
      <c r="C609" s="458"/>
      <c r="D609" s="458"/>
      <c r="E609" s="458"/>
      <c r="F609" s="458"/>
      <c r="G609" s="458"/>
      <c r="H609" s="458"/>
      <c r="I609" s="458"/>
      <c r="J609" s="458"/>
      <c r="K609" s="458"/>
      <c r="L609" s="458"/>
      <c r="M609" s="458"/>
      <c r="N609" s="458"/>
      <c r="O609" s="458"/>
      <c r="P609" s="458"/>
      <c r="Q609" s="458"/>
      <c r="R609" s="458"/>
      <c r="S609" s="458"/>
      <c r="T609" s="458"/>
      <c r="U609" s="458"/>
      <c r="V609" s="458"/>
      <c r="W609" s="458"/>
    </row>
    <row r="610" spans="1:23" ht="15.75" customHeight="1">
      <c r="A610" s="458"/>
      <c r="B610" s="458"/>
      <c r="C610" s="458"/>
      <c r="D610" s="458"/>
      <c r="E610" s="458"/>
      <c r="F610" s="458"/>
      <c r="G610" s="458"/>
      <c r="H610" s="458"/>
      <c r="I610" s="458"/>
      <c r="J610" s="458"/>
      <c r="K610" s="458"/>
      <c r="L610" s="458"/>
      <c r="M610" s="458"/>
      <c r="N610" s="458"/>
      <c r="O610" s="458"/>
      <c r="P610" s="458"/>
      <c r="Q610" s="458"/>
      <c r="R610" s="458"/>
      <c r="S610" s="458"/>
      <c r="T610" s="458"/>
      <c r="U610" s="458"/>
      <c r="V610" s="458"/>
      <c r="W610" s="458"/>
    </row>
    <row r="611" spans="1:23" ht="15.75" customHeight="1">
      <c r="A611" s="458"/>
      <c r="B611" s="458"/>
      <c r="C611" s="458"/>
      <c r="D611" s="458"/>
      <c r="E611" s="458"/>
      <c r="F611" s="458"/>
      <c r="G611" s="458"/>
      <c r="H611" s="458"/>
      <c r="I611" s="458"/>
      <c r="J611" s="458"/>
      <c r="K611" s="458"/>
      <c r="L611" s="458"/>
      <c r="M611" s="458"/>
      <c r="N611" s="458"/>
      <c r="O611" s="458"/>
      <c r="P611" s="458"/>
      <c r="Q611" s="458"/>
      <c r="R611" s="458"/>
      <c r="S611" s="458"/>
      <c r="T611" s="458"/>
      <c r="U611" s="458"/>
      <c r="V611" s="458"/>
      <c r="W611" s="458"/>
    </row>
    <row r="612" spans="1:23" ht="15.75" customHeight="1">
      <c r="A612" s="458"/>
      <c r="B612" s="458"/>
      <c r="C612" s="458"/>
      <c r="D612" s="458"/>
      <c r="E612" s="458"/>
      <c r="F612" s="458"/>
      <c r="G612" s="458"/>
      <c r="H612" s="458"/>
      <c r="I612" s="458"/>
      <c r="J612" s="458"/>
      <c r="K612" s="458"/>
      <c r="L612" s="458"/>
      <c r="M612" s="458"/>
      <c r="N612" s="458"/>
      <c r="O612" s="458"/>
      <c r="P612" s="458"/>
      <c r="Q612" s="458"/>
      <c r="R612" s="458"/>
      <c r="S612" s="458"/>
      <c r="T612" s="458"/>
      <c r="U612" s="458"/>
      <c r="V612" s="458"/>
      <c r="W612" s="458"/>
    </row>
    <row r="613" spans="1:23" ht="15.75" customHeight="1">
      <c r="A613" s="458"/>
      <c r="B613" s="458"/>
      <c r="C613" s="458"/>
      <c r="D613" s="458"/>
      <c r="E613" s="458"/>
      <c r="F613" s="458"/>
      <c r="G613" s="458"/>
      <c r="H613" s="458"/>
      <c r="I613" s="458"/>
      <c r="J613" s="458"/>
      <c r="K613" s="458"/>
      <c r="L613" s="458"/>
      <c r="M613" s="458"/>
      <c r="N613" s="458"/>
      <c r="O613" s="458"/>
      <c r="P613" s="458"/>
      <c r="Q613" s="458"/>
      <c r="R613" s="458"/>
      <c r="S613" s="458"/>
      <c r="T613" s="458"/>
      <c r="U613" s="458"/>
      <c r="V613" s="458"/>
      <c r="W613" s="458"/>
    </row>
    <row r="614" spans="1:23" ht="15.75" customHeight="1">
      <c r="A614" s="458"/>
      <c r="B614" s="458"/>
      <c r="C614" s="458"/>
      <c r="D614" s="458"/>
      <c r="E614" s="458"/>
      <c r="F614" s="458"/>
      <c r="G614" s="458"/>
      <c r="H614" s="458"/>
      <c r="I614" s="458"/>
      <c r="J614" s="458"/>
      <c r="K614" s="458"/>
      <c r="L614" s="458"/>
      <c r="M614" s="458"/>
      <c r="N614" s="458"/>
      <c r="O614" s="458"/>
      <c r="P614" s="458"/>
      <c r="Q614" s="458"/>
      <c r="R614" s="458"/>
      <c r="S614" s="458"/>
      <c r="T614" s="458"/>
      <c r="U614" s="458"/>
      <c r="V614" s="458"/>
      <c r="W614" s="458"/>
    </row>
    <row r="615" spans="1:23" ht="15.75" customHeight="1">
      <c r="A615" s="458"/>
      <c r="B615" s="458"/>
      <c r="C615" s="458"/>
      <c r="D615" s="458"/>
      <c r="E615" s="458"/>
      <c r="F615" s="458"/>
      <c r="G615" s="458"/>
      <c r="H615" s="458"/>
      <c r="I615" s="458"/>
      <c r="J615" s="458"/>
      <c r="K615" s="458"/>
      <c r="L615" s="458"/>
      <c r="M615" s="458"/>
      <c r="N615" s="458"/>
      <c r="O615" s="458"/>
      <c r="P615" s="458"/>
      <c r="Q615" s="458"/>
      <c r="R615" s="458"/>
      <c r="S615" s="458"/>
      <c r="T615" s="458"/>
      <c r="U615" s="458"/>
      <c r="V615" s="458"/>
      <c r="W615" s="458"/>
    </row>
    <row r="616" spans="1:23" ht="15.75" customHeight="1">
      <c r="A616" s="458"/>
      <c r="B616" s="458"/>
      <c r="C616" s="458"/>
      <c r="D616" s="458"/>
      <c r="E616" s="458"/>
      <c r="F616" s="458"/>
      <c r="G616" s="458"/>
      <c r="H616" s="458"/>
      <c r="I616" s="458"/>
      <c r="J616" s="458"/>
      <c r="K616" s="458"/>
      <c r="L616" s="458"/>
      <c r="M616" s="458"/>
      <c r="N616" s="458"/>
      <c r="O616" s="458"/>
      <c r="P616" s="458"/>
      <c r="Q616" s="458"/>
      <c r="R616" s="458"/>
      <c r="S616" s="458"/>
      <c r="T616" s="458"/>
      <c r="U616" s="458"/>
      <c r="V616" s="458"/>
      <c r="W616" s="458"/>
    </row>
    <row r="617" spans="1:23" ht="15.75" customHeight="1">
      <c r="A617" s="458"/>
      <c r="B617" s="458"/>
      <c r="C617" s="458"/>
      <c r="D617" s="458"/>
      <c r="E617" s="458"/>
      <c r="F617" s="458"/>
      <c r="G617" s="458"/>
      <c r="H617" s="458"/>
      <c r="I617" s="458"/>
      <c r="J617" s="458"/>
      <c r="K617" s="458"/>
      <c r="L617" s="458"/>
      <c r="M617" s="458"/>
      <c r="N617" s="458"/>
      <c r="O617" s="458"/>
      <c r="P617" s="458"/>
      <c r="Q617" s="458"/>
      <c r="R617" s="458"/>
      <c r="S617" s="458"/>
      <c r="T617" s="458"/>
      <c r="U617" s="458"/>
      <c r="V617" s="458"/>
      <c r="W617" s="458"/>
    </row>
    <row r="618" spans="1:23" ht="15.75" customHeight="1">
      <c r="A618" s="458"/>
      <c r="B618" s="458"/>
      <c r="C618" s="458"/>
      <c r="D618" s="458"/>
      <c r="E618" s="458"/>
      <c r="F618" s="458"/>
      <c r="G618" s="458"/>
      <c r="H618" s="458"/>
      <c r="I618" s="458"/>
      <c r="J618" s="458"/>
      <c r="K618" s="458"/>
      <c r="L618" s="458"/>
      <c r="M618" s="458"/>
      <c r="N618" s="458"/>
      <c r="O618" s="458"/>
      <c r="P618" s="458"/>
      <c r="Q618" s="458"/>
      <c r="R618" s="458"/>
      <c r="S618" s="458"/>
      <c r="T618" s="458"/>
      <c r="U618" s="458"/>
      <c r="V618" s="458"/>
      <c r="W618" s="458"/>
    </row>
    <row r="619" spans="1:23" ht="15.75" customHeight="1">
      <c r="A619" s="458"/>
      <c r="B619" s="458"/>
      <c r="C619" s="458"/>
      <c r="D619" s="458"/>
      <c r="E619" s="458"/>
      <c r="F619" s="458"/>
      <c r="G619" s="458"/>
      <c r="H619" s="458"/>
      <c r="I619" s="458"/>
      <c r="J619" s="458"/>
      <c r="K619" s="458"/>
      <c r="L619" s="458"/>
      <c r="M619" s="458"/>
      <c r="N619" s="458"/>
      <c r="O619" s="458"/>
      <c r="P619" s="458"/>
      <c r="Q619" s="458"/>
      <c r="R619" s="458"/>
      <c r="S619" s="458"/>
      <c r="T619" s="458"/>
      <c r="U619" s="458"/>
      <c r="V619" s="458"/>
      <c r="W619" s="458"/>
    </row>
    <row r="620" spans="1:23" ht="15.75" customHeight="1">
      <c r="A620" s="458"/>
      <c r="B620" s="458"/>
      <c r="C620" s="458"/>
      <c r="D620" s="458"/>
      <c r="E620" s="458"/>
      <c r="F620" s="458"/>
      <c r="G620" s="458"/>
      <c r="H620" s="458"/>
      <c r="I620" s="458"/>
      <c r="J620" s="458"/>
      <c r="K620" s="458"/>
      <c r="L620" s="458"/>
      <c r="M620" s="458"/>
      <c r="N620" s="458"/>
      <c r="O620" s="458"/>
      <c r="P620" s="458"/>
      <c r="Q620" s="458"/>
      <c r="R620" s="458"/>
      <c r="S620" s="458"/>
      <c r="T620" s="458"/>
      <c r="U620" s="458"/>
      <c r="V620" s="458"/>
      <c r="W620" s="458"/>
    </row>
    <row r="621" spans="1:23" ht="15.75" customHeight="1">
      <c r="A621" s="458"/>
      <c r="B621" s="458"/>
      <c r="C621" s="458"/>
      <c r="D621" s="458"/>
      <c r="E621" s="458"/>
      <c r="F621" s="458"/>
      <c r="G621" s="458"/>
      <c r="H621" s="458"/>
      <c r="I621" s="458"/>
      <c r="J621" s="458"/>
      <c r="K621" s="458"/>
      <c r="L621" s="458"/>
      <c r="M621" s="458"/>
      <c r="N621" s="458"/>
      <c r="O621" s="458"/>
      <c r="P621" s="458"/>
      <c r="Q621" s="458"/>
      <c r="R621" s="458"/>
      <c r="S621" s="458"/>
      <c r="T621" s="458"/>
      <c r="U621" s="458"/>
      <c r="V621" s="458"/>
      <c r="W621" s="458"/>
    </row>
    <row r="622" spans="1:23" ht="15.75" customHeight="1">
      <c r="A622" s="458"/>
      <c r="B622" s="458"/>
      <c r="C622" s="458"/>
      <c r="D622" s="458"/>
      <c r="E622" s="458"/>
      <c r="F622" s="458"/>
      <c r="G622" s="458"/>
      <c r="H622" s="458"/>
      <c r="I622" s="458"/>
      <c r="J622" s="458"/>
      <c r="K622" s="458"/>
      <c r="L622" s="458"/>
      <c r="M622" s="458"/>
      <c r="N622" s="458"/>
      <c r="O622" s="458"/>
      <c r="P622" s="458"/>
      <c r="Q622" s="458"/>
      <c r="R622" s="458"/>
      <c r="S622" s="458"/>
      <c r="T622" s="458"/>
      <c r="U622" s="458"/>
      <c r="V622" s="458"/>
      <c r="W622" s="458"/>
    </row>
    <row r="623" spans="1:23" ht="15.75" customHeight="1">
      <c r="A623" s="458"/>
      <c r="B623" s="458"/>
      <c r="C623" s="458"/>
      <c r="D623" s="458"/>
      <c r="E623" s="458"/>
      <c r="F623" s="458"/>
      <c r="G623" s="458"/>
      <c r="H623" s="458"/>
      <c r="I623" s="458"/>
      <c r="J623" s="458"/>
      <c r="K623" s="458"/>
      <c r="L623" s="458"/>
      <c r="M623" s="458"/>
      <c r="N623" s="458"/>
      <c r="O623" s="458"/>
      <c r="P623" s="458"/>
      <c r="Q623" s="458"/>
      <c r="R623" s="458"/>
      <c r="S623" s="458"/>
      <c r="T623" s="458"/>
      <c r="U623" s="458"/>
      <c r="V623" s="458"/>
      <c r="W623" s="458"/>
    </row>
    <row r="624" spans="1:23" ht="15.75" customHeight="1">
      <c r="A624" s="458"/>
      <c r="B624" s="458"/>
      <c r="C624" s="458"/>
      <c r="D624" s="458"/>
      <c r="E624" s="458"/>
      <c r="F624" s="458"/>
      <c r="G624" s="458"/>
      <c r="H624" s="458"/>
      <c r="I624" s="458"/>
      <c r="J624" s="458"/>
      <c r="K624" s="458"/>
      <c r="L624" s="458"/>
      <c r="M624" s="458"/>
      <c r="N624" s="458"/>
      <c r="O624" s="458"/>
      <c r="P624" s="458"/>
      <c r="Q624" s="458"/>
      <c r="R624" s="458"/>
      <c r="S624" s="458"/>
      <c r="T624" s="458"/>
      <c r="U624" s="458"/>
      <c r="V624" s="458"/>
      <c r="W624" s="458"/>
    </row>
    <row r="625" spans="1:23" ht="15.75" customHeight="1">
      <c r="A625" s="458"/>
      <c r="B625" s="458"/>
      <c r="C625" s="458"/>
      <c r="D625" s="458"/>
      <c r="E625" s="458"/>
      <c r="F625" s="458"/>
      <c r="G625" s="458"/>
      <c r="H625" s="458"/>
      <c r="I625" s="458"/>
      <c r="J625" s="458"/>
      <c r="K625" s="458"/>
      <c r="L625" s="458"/>
      <c r="M625" s="458"/>
      <c r="N625" s="458"/>
      <c r="O625" s="458"/>
      <c r="P625" s="458"/>
      <c r="Q625" s="458"/>
      <c r="R625" s="458"/>
      <c r="S625" s="458"/>
      <c r="T625" s="458"/>
      <c r="U625" s="458"/>
      <c r="V625" s="458"/>
      <c r="W625" s="458"/>
    </row>
    <row r="626" spans="1:23" ht="15.75" customHeight="1">
      <c r="A626" s="458"/>
      <c r="B626" s="458"/>
      <c r="C626" s="458"/>
      <c r="D626" s="458"/>
      <c r="E626" s="458"/>
      <c r="F626" s="458"/>
      <c r="G626" s="458"/>
      <c r="H626" s="458"/>
      <c r="I626" s="458"/>
      <c r="J626" s="458"/>
      <c r="K626" s="458"/>
      <c r="L626" s="458"/>
      <c r="M626" s="458"/>
      <c r="N626" s="458"/>
      <c r="O626" s="458"/>
      <c r="P626" s="458"/>
      <c r="Q626" s="458"/>
      <c r="R626" s="458"/>
      <c r="S626" s="458"/>
      <c r="T626" s="458"/>
      <c r="U626" s="458"/>
      <c r="V626" s="458"/>
      <c r="W626" s="458"/>
    </row>
    <row r="627" spans="1:23" ht="15.75" customHeight="1">
      <c r="A627" s="458"/>
      <c r="B627" s="458"/>
      <c r="C627" s="458"/>
      <c r="D627" s="458"/>
      <c r="E627" s="458"/>
      <c r="F627" s="458"/>
      <c r="G627" s="458"/>
      <c r="H627" s="458"/>
      <c r="I627" s="458"/>
      <c r="J627" s="458"/>
      <c r="K627" s="458"/>
      <c r="L627" s="458"/>
      <c r="M627" s="458"/>
      <c r="N627" s="458"/>
      <c r="O627" s="458"/>
      <c r="P627" s="458"/>
      <c r="Q627" s="458"/>
      <c r="R627" s="458"/>
      <c r="S627" s="458"/>
      <c r="T627" s="458"/>
      <c r="U627" s="458"/>
      <c r="V627" s="458"/>
      <c r="W627" s="458"/>
    </row>
    <row r="628" spans="1:23" ht="15.75" customHeight="1">
      <c r="A628" s="458"/>
      <c r="B628" s="458"/>
      <c r="C628" s="458"/>
      <c r="D628" s="458"/>
      <c r="E628" s="458"/>
      <c r="F628" s="458"/>
      <c r="G628" s="458"/>
      <c r="H628" s="458"/>
      <c r="I628" s="458"/>
      <c r="J628" s="458"/>
      <c r="K628" s="458"/>
      <c r="L628" s="458"/>
      <c r="M628" s="458"/>
      <c r="N628" s="458"/>
      <c r="O628" s="458"/>
      <c r="P628" s="458"/>
      <c r="Q628" s="458"/>
      <c r="R628" s="458"/>
      <c r="S628" s="458"/>
      <c r="T628" s="458"/>
      <c r="U628" s="458"/>
      <c r="V628" s="458"/>
      <c r="W628" s="458"/>
    </row>
    <row r="629" spans="1:23" ht="15.75" customHeight="1">
      <c r="A629" s="458"/>
      <c r="B629" s="458"/>
      <c r="C629" s="458"/>
      <c r="D629" s="458"/>
      <c r="E629" s="458"/>
      <c r="F629" s="458"/>
      <c r="G629" s="458"/>
      <c r="H629" s="458"/>
      <c r="I629" s="458"/>
      <c r="J629" s="458"/>
      <c r="K629" s="458"/>
      <c r="L629" s="458"/>
      <c r="M629" s="458"/>
      <c r="N629" s="458"/>
      <c r="O629" s="458"/>
      <c r="P629" s="458"/>
      <c r="Q629" s="458"/>
      <c r="R629" s="458"/>
      <c r="S629" s="458"/>
      <c r="T629" s="458"/>
      <c r="U629" s="458"/>
      <c r="V629" s="458"/>
      <c r="W629" s="458"/>
    </row>
    <row r="630" spans="1:23" ht="15.75" customHeight="1">
      <c r="A630" s="458"/>
      <c r="B630" s="458"/>
      <c r="C630" s="458"/>
      <c r="D630" s="458"/>
      <c r="E630" s="458"/>
      <c r="F630" s="458"/>
      <c r="G630" s="458"/>
      <c r="H630" s="458"/>
      <c r="I630" s="458"/>
      <c r="J630" s="458"/>
      <c r="K630" s="458"/>
      <c r="L630" s="458"/>
      <c r="M630" s="458"/>
      <c r="N630" s="458"/>
      <c r="O630" s="458"/>
      <c r="P630" s="458"/>
      <c r="Q630" s="458"/>
      <c r="R630" s="458"/>
      <c r="S630" s="458"/>
      <c r="T630" s="458"/>
      <c r="U630" s="458"/>
      <c r="V630" s="458"/>
      <c r="W630" s="458"/>
    </row>
    <row r="631" spans="1:23" ht="15.75" customHeight="1">
      <c r="A631" s="458"/>
      <c r="B631" s="458"/>
      <c r="C631" s="458"/>
      <c r="D631" s="458"/>
      <c r="E631" s="458"/>
      <c r="F631" s="458"/>
      <c r="G631" s="458"/>
      <c r="H631" s="458"/>
      <c r="I631" s="458"/>
      <c r="J631" s="458"/>
      <c r="K631" s="458"/>
      <c r="L631" s="458"/>
      <c r="M631" s="458"/>
      <c r="N631" s="458"/>
      <c r="O631" s="458"/>
      <c r="P631" s="458"/>
      <c r="Q631" s="458"/>
      <c r="R631" s="458"/>
      <c r="S631" s="458"/>
      <c r="T631" s="458"/>
      <c r="U631" s="458"/>
      <c r="V631" s="458"/>
      <c r="W631" s="458"/>
    </row>
    <row r="632" spans="1:23" ht="15.75" customHeight="1">
      <c r="A632" s="458"/>
      <c r="B632" s="458"/>
      <c r="C632" s="458"/>
      <c r="D632" s="458"/>
      <c r="E632" s="458"/>
      <c r="F632" s="458"/>
      <c r="G632" s="458"/>
      <c r="H632" s="458"/>
      <c r="I632" s="458"/>
      <c r="J632" s="458"/>
      <c r="K632" s="458"/>
      <c r="L632" s="458"/>
      <c r="M632" s="458"/>
      <c r="N632" s="458"/>
      <c r="O632" s="458"/>
      <c r="P632" s="458"/>
      <c r="Q632" s="458"/>
      <c r="R632" s="458"/>
      <c r="S632" s="458"/>
      <c r="T632" s="458"/>
      <c r="U632" s="458"/>
      <c r="V632" s="458"/>
      <c r="W632" s="458"/>
    </row>
    <row r="633" spans="1:23" ht="15.75" customHeight="1">
      <c r="A633" s="458"/>
      <c r="B633" s="458"/>
      <c r="C633" s="458"/>
      <c r="D633" s="458"/>
      <c r="E633" s="458"/>
      <c r="F633" s="458"/>
      <c r="G633" s="458"/>
      <c r="H633" s="458"/>
      <c r="I633" s="458"/>
      <c r="J633" s="458"/>
      <c r="K633" s="458"/>
      <c r="L633" s="458"/>
      <c r="M633" s="458"/>
      <c r="N633" s="458"/>
      <c r="O633" s="458"/>
      <c r="P633" s="458"/>
      <c r="Q633" s="458"/>
      <c r="R633" s="458"/>
      <c r="S633" s="458"/>
      <c r="T633" s="458"/>
      <c r="U633" s="458"/>
      <c r="V633" s="458"/>
      <c r="W633" s="458"/>
    </row>
    <row r="634" spans="1:23" ht="15.75" customHeight="1">
      <c r="A634" s="458"/>
      <c r="B634" s="458"/>
      <c r="C634" s="458"/>
      <c r="D634" s="458"/>
      <c r="E634" s="458"/>
      <c r="F634" s="458"/>
      <c r="G634" s="458"/>
      <c r="H634" s="458"/>
      <c r="I634" s="458"/>
      <c r="J634" s="458"/>
      <c r="K634" s="458"/>
      <c r="L634" s="458"/>
      <c r="M634" s="458"/>
      <c r="N634" s="458"/>
      <c r="O634" s="458"/>
      <c r="P634" s="458"/>
      <c r="Q634" s="458"/>
      <c r="R634" s="458"/>
      <c r="S634" s="458"/>
      <c r="T634" s="458"/>
      <c r="U634" s="458"/>
      <c r="V634" s="458"/>
      <c r="W634" s="458"/>
    </row>
    <row r="635" spans="1:23" ht="15.75" customHeight="1">
      <c r="A635" s="458"/>
      <c r="B635" s="458"/>
      <c r="C635" s="458"/>
      <c r="D635" s="458"/>
      <c r="E635" s="458"/>
      <c r="F635" s="458"/>
      <c r="G635" s="458"/>
      <c r="H635" s="458"/>
      <c r="I635" s="458"/>
      <c r="J635" s="458"/>
      <c r="K635" s="458"/>
      <c r="L635" s="458"/>
      <c r="M635" s="458"/>
      <c r="N635" s="458"/>
      <c r="O635" s="458"/>
      <c r="P635" s="458"/>
      <c r="Q635" s="458"/>
      <c r="R635" s="458"/>
      <c r="S635" s="458"/>
      <c r="T635" s="458"/>
      <c r="U635" s="458"/>
      <c r="V635" s="458"/>
      <c r="W635" s="458"/>
    </row>
    <row r="636" spans="1:23" ht="15.75" customHeight="1">
      <c r="A636" s="458"/>
      <c r="B636" s="458"/>
      <c r="C636" s="458"/>
      <c r="D636" s="458"/>
      <c r="E636" s="458"/>
      <c r="F636" s="458"/>
      <c r="G636" s="458"/>
      <c r="H636" s="458"/>
      <c r="I636" s="458"/>
      <c r="J636" s="458"/>
      <c r="K636" s="458"/>
      <c r="L636" s="458"/>
      <c r="M636" s="458"/>
      <c r="N636" s="458"/>
      <c r="O636" s="458"/>
      <c r="P636" s="458"/>
      <c r="Q636" s="458"/>
      <c r="R636" s="458"/>
      <c r="S636" s="458"/>
      <c r="T636" s="458"/>
      <c r="U636" s="458"/>
      <c r="V636" s="458"/>
      <c r="W636" s="458"/>
    </row>
    <row r="637" spans="1:23" ht="15.75" customHeight="1">
      <c r="A637" s="458"/>
      <c r="B637" s="458"/>
      <c r="C637" s="458"/>
      <c r="D637" s="458"/>
      <c r="E637" s="458"/>
      <c r="F637" s="458"/>
      <c r="G637" s="458"/>
      <c r="H637" s="458"/>
      <c r="I637" s="458"/>
      <c r="J637" s="458"/>
      <c r="K637" s="458"/>
      <c r="L637" s="458"/>
      <c r="M637" s="458"/>
      <c r="N637" s="458"/>
      <c r="O637" s="458"/>
      <c r="P637" s="458"/>
      <c r="Q637" s="458"/>
      <c r="R637" s="458"/>
      <c r="S637" s="458"/>
      <c r="T637" s="458"/>
      <c r="U637" s="458"/>
      <c r="V637" s="458"/>
      <c r="W637" s="458"/>
    </row>
    <row r="638" spans="1:23" ht="15.75" customHeight="1">
      <c r="A638" s="458"/>
      <c r="B638" s="458"/>
      <c r="C638" s="458"/>
      <c r="D638" s="458"/>
      <c r="E638" s="458"/>
      <c r="F638" s="458"/>
      <c r="G638" s="458"/>
      <c r="H638" s="458"/>
      <c r="I638" s="458"/>
      <c r="J638" s="458"/>
      <c r="K638" s="458"/>
      <c r="L638" s="458"/>
      <c r="M638" s="458"/>
      <c r="N638" s="458"/>
      <c r="O638" s="458"/>
      <c r="P638" s="458"/>
      <c r="Q638" s="458"/>
      <c r="R638" s="458"/>
      <c r="S638" s="458"/>
      <c r="T638" s="458"/>
      <c r="U638" s="458"/>
      <c r="V638" s="458"/>
      <c r="W638" s="458"/>
    </row>
    <row r="639" spans="1:23" ht="15.75" customHeight="1">
      <c r="A639" s="458"/>
      <c r="B639" s="458"/>
      <c r="C639" s="458"/>
      <c r="D639" s="458"/>
      <c r="E639" s="458"/>
      <c r="F639" s="458"/>
      <c r="G639" s="458"/>
      <c r="H639" s="458"/>
      <c r="I639" s="458"/>
      <c r="J639" s="458"/>
      <c r="K639" s="458"/>
      <c r="L639" s="458"/>
      <c r="M639" s="458"/>
      <c r="N639" s="458"/>
      <c r="O639" s="458"/>
      <c r="P639" s="458"/>
      <c r="Q639" s="458"/>
      <c r="R639" s="458"/>
      <c r="S639" s="458"/>
      <c r="T639" s="458"/>
      <c r="U639" s="458"/>
      <c r="V639" s="458"/>
      <c r="W639" s="458"/>
    </row>
    <row r="640" spans="1:23" ht="15.75" customHeight="1">
      <c r="A640" s="458"/>
      <c r="B640" s="458"/>
      <c r="C640" s="458"/>
      <c r="D640" s="458"/>
      <c r="E640" s="458"/>
      <c r="F640" s="458"/>
      <c r="G640" s="458"/>
      <c r="H640" s="458"/>
      <c r="I640" s="458"/>
      <c r="J640" s="458"/>
      <c r="K640" s="458"/>
      <c r="L640" s="458"/>
      <c r="M640" s="458"/>
      <c r="N640" s="458"/>
      <c r="O640" s="458"/>
      <c r="P640" s="458"/>
      <c r="Q640" s="458"/>
      <c r="R640" s="458"/>
      <c r="S640" s="458"/>
      <c r="T640" s="458"/>
      <c r="U640" s="458"/>
      <c r="V640" s="458"/>
      <c r="W640" s="458"/>
    </row>
    <row r="641" spans="1:23" ht="15.75" customHeight="1">
      <c r="A641" s="458"/>
      <c r="B641" s="458"/>
      <c r="C641" s="458"/>
      <c r="D641" s="458"/>
      <c r="E641" s="458"/>
      <c r="F641" s="458"/>
      <c r="G641" s="458"/>
      <c r="H641" s="458"/>
      <c r="I641" s="458"/>
      <c r="J641" s="458"/>
      <c r="K641" s="458"/>
      <c r="L641" s="458"/>
      <c r="M641" s="458"/>
      <c r="N641" s="458"/>
      <c r="O641" s="458"/>
      <c r="P641" s="458"/>
      <c r="Q641" s="458"/>
      <c r="R641" s="458"/>
      <c r="S641" s="458"/>
      <c r="T641" s="458"/>
      <c r="U641" s="458"/>
      <c r="V641" s="458"/>
      <c r="W641" s="458"/>
    </row>
    <row r="642" spans="1:23" ht="15.75" customHeight="1">
      <c r="A642" s="458"/>
      <c r="B642" s="458"/>
      <c r="C642" s="458"/>
      <c r="D642" s="458"/>
      <c r="E642" s="458"/>
      <c r="F642" s="458"/>
      <c r="G642" s="458"/>
      <c r="H642" s="458"/>
      <c r="I642" s="458"/>
      <c r="J642" s="458"/>
      <c r="K642" s="458"/>
      <c r="L642" s="458"/>
      <c r="M642" s="458"/>
      <c r="N642" s="458"/>
      <c r="O642" s="458"/>
      <c r="P642" s="458"/>
      <c r="Q642" s="458"/>
      <c r="R642" s="458"/>
      <c r="S642" s="458"/>
      <c r="T642" s="458"/>
      <c r="U642" s="458"/>
      <c r="V642" s="458"/>
      <c r="W642" s="458"/>
    </row>
    <row r="643" spans="1:23" ht="15.75" customHeight="1">
      <c r="A643" s="458"/>
      <c r="B643" s="458"/>
      <c r="C643" s="458"/>
      <c r="D643" s="458"/>
      <c r="E643" s="458"/>
      <c r="F643" s="458"/>
      <c r="G643" s="458"/>
      <c r="H643" s="458"/>
      <c r="I643" s="458"/>
      <c r="J643" s="458"/>
      <c r="K643" s="458"/>
      <c r="L643" s="458"/>
      <c r="M643" s="458"/>
      <c r="N643" s="458"/>
      <c r="O643" s="458"/>
      <c r="P643" s="458"/>
      <c r="Q643" s="458"/>
      <c r="R643" s="458"/>
      <c r="S643" s="458"/>
      <c r="T643" s="458"/>
      <c r="U643" s="458"/>
      <c r="V643" s="458"/>
      <c r="W643" s="458"/>
    </row>
    <row r="644" spans="1:23" ht="15.75" customHeight="1">
      <c r="A644" s="458"/>
      <c r="B644" s="458"/>
      <c r="C644" s="458"/>
      <c r="D644" s="458"/>
      <c r="E644" s="458"/>
      <c r="F644" s="458"/>
      <c r="G644" s="458"/>
      <c r="H644" s="458"/>
      <c r="I644" s="458"/>
      <c r="J644" s="458"/>
      <c r="K644" s="458"/>
      <c r="L644" s="458"/>
      <c r="M644" s="458"/>
      <c r="N644" s="458"/>
      <c r="O644" s="458"/>
      <c r="P644" s="458"/>
      <c r="Q644" s="458"/>
      <c r="R644" s="458"/>
      <c r="S644" s="458"/>
      <c r="T644" s="458"/>
      <c r="U644" s="458"/>
      <c r="V644" s="458"/>
      <c r="W644" s="458"/>
    </row>
    <row r="645" spans="1:23" ht="15.75" customHeight="1">
      <c r="A645" s="458"/>
      <c r="B645" s="458"/>
      <c r="C645" s="458"/>
      <c r="D645" s="458"/>
      <c r="E645" s="458"/>
      <c r="F645" s="458"/>
      <c r="G645" s="458"/>
      <c r="H645" s="458"/>
      <c r="I645" s="458"/>
      <c r="J645" s="458"/>
      <c r="K645" s="458"/>
      <c r="L645" s="458"/>
      <c r="M645" s="458"/>
      <c r="N645" s="458"/>
      <c r="O645" s="458"/>
      <c r="P645" s="458"/>
      <c r="Q645" s="458"/>
      <c r="R645" s="458"/>
      <c r="S645" s="458"/>
      <c r="T645" s="458"/>
      <c r="U645" s="458"/>
      <c r="V645" s="458"/>
      <c r="W645" s="458"/>
    </row>
    <row r="646" spans="1:23" ht="15.75" customHeight="1">
      <c r="A646" s="458"/>
      <c r="B646" s="458"/>
      <c r="C646" s="458"/>
      <c r="D646" s="458"/>
      <c r="E646" s="458"/>
      <c r="F646" s="458"/>
      <c r="G646" s="458"/>
      <c r="H646" s="458"/>
      <c r="I646" s="458"/>
      <c r="J646" s="458"/>
      <c r="K646" s="458"/>
      <c r="L646" s="458"/>
      <c r="M646" s="458"/>
      <c r="N646" s="458"/>
      <c r="O646" s="458"/>
      <c r="P646" s="458"/>
      <c r="Q646" s="458"/>
      <c r="R646" s="458"/>
      <c r="S646" s="458"/>
      <c r="T646" s="458"/>
      <c r="U646" s="458"/>
      <c r="V646" s="458"/>
      <c r="W646" s="458"/>
    </row>
    <row r="647" spans="1:23" ht="15.75" customHeight="1">
      <c r="A647" s="458"/>
      <c r="B647" s="458"/>
      <c r="C647" s="458"/>
      <c r="D647" s="458"/>
      <c r="E647" s="458"/>
      <c r="F647" s="458"/>
      <c r="G647" s="458"/>
      <c r="H647" s="458"/>
      <c r="I647" s="458"/>
      <c r="J647" s="458"/>
      <c r="K647" s="458"/>
      <c r="L647" s="458"/>
      <c r="M647" s="458"/>
      <c r="N647" s="458"/>
      <c r="O647" s="458"/>
      <c r="P647" s="458"/>
      <c r="Q647" s="458"/>
      <c r="R647" s="458"/>
      <c r="S647" s="458"/>
      <c r="T647" s="458"/>
      <c r="U647" s="458"/>
      <c r="V647" s="458"/>
      <c r="W647" s="458"/>
    </row>
    <row r="648" spans="1:23" ht="15.75" customHeight="1">
      <c r="A648" s="458"/>
      <c r="B648" s="458"/>
      <c r="C648" s="458"/>
      <c r="D648" s="458"/>
      <c r="E648" s="458"/>
      <c r="F648" s="458"/>
      <c r="G648" s="458"/>
      <c r="H648" s="458"/>
      <c r="I648" s="458"/>
      <c r="J648" s="458"/>
      <c r="K648" s="458"/>
      <c r="L648" s="458"/>
      <c r="M648" s="458"/>
      <c r="N648" s="458"/>
      <c r="O648" s="458"/>
      <c r="P648" s="458"/>
      <c r="Q648" s="458"/>
      <c r="R648" s="458"/>
      <c r="S648" s="458"/>
      <c r="T648" s="458"/>
      <c r="U648" s="458"/>
      <c r="V648" s="458"/>
      <c r="W648" s="458"/>
    </row>
    <row r="649" spans="1:23" ht="15.75" customHeight="1">
      <c r="A649" s="458"/>
      <c r="B649" s="458"/>
      <c r="C649" s="458"/>
      <c r="D649" s="458"/>
      <c r="E649" s="458"/>
      <c r="F649" s="458"/>
      <c r="G649" s="458"/>
      <c r="H649" s="458"/>
      <c r="I649" s="458"/>
      <c r="J649" s="458"/>
      <c r="K649" s="458"/>
      <c r="L649" s="458"/>
      <c r="M649" s="458"/>
      <c r="N649" s="458"/>
      <c r="O649" s="458"/>
      <c r="P649" s="458"/>
      <c r="Q649" s="458"/>
      <c r="R649" s="458"/>
      <c r="S649" s="458"/>
      <c r="T649" s="458"/>
      <c r="U649" s="458"/>
      <c r="V649" s="458"/>
      <c r="W649" s="458"/>
    </row>
    <row r="650" spans="1:23" ht="15.75" customHeight="1">
      <c r="A650" s="458"/>
      <c r="B650" s="458"/>
      <c r="C650" s="458"/>
      <c r="D650" s="458"/>
      <c r="E650" s="458"/>
      <c r="F650" s="458"/>
      <c r="G650" s="458"/>
      <c r="H650" s="458"/>
      <c r="I650" s="458"/>
      <c r="J650" s="458"/>
      <c r="K650" s="458"/>
      <c r="L650" s="458"/>
      <c r="M650" s="458"/>
      <c r="N650" s="458"/>
      <c r="O650" s="458"/>
      <c r="P650" s="458"/>
      <c r="Q650" s="458"/>
      <c r="R650" s="458"/>
      <c r="S650" s="458"/>
      <c r="T650" s="458"/>
      <c r="U650" s="458"/>
      <c r="V650" s="458"/>
      <c r="W650" s="458"/>
    </row>
    <row r="651" spans="1:23" ht="15.75" customHeight="1">
      <c r="A651" s="458"/>
      <c r="B651" s="458"/>
      <c r="C651" s="458"/>
      <c r="D651" s="458"/>
      <c r="E651" s="458"/>
      <c r="F651" s="458"/>
      <c r="G651" s="458"/>
      <c r="H651" s="458"/>
      <c r="I651" s="458"/>
      <c r="J651" s="458"/>
      <c r="K651" s="458"/>
      <c r="L651" s="458"/>
      <c r="M651" s="458"/>
      <c r="N651" s="458"/>
      <c r="O651" s="458"/>
      <c r="P651" s="458"/>
      <c r="Q651" s="458"/>
      <c r="R651" s="458"/>
      <c r="S651" s="458"/>
      <c r="T651" s="458"/>
      <c r="U651" s="458"/>
      <c r="V651" s="458"/>
      <c r="W651" s="458"/>
    </row>
    <row r="652" spans="1:23" ht="15.75" customHeight="1">
      <c r="A652" s="458"/>
      <c r="B652" s="458"/>
      <c r="C652" s="458"/>
      <c r="D652" s="458"/>
      <c r="E652" s="458"/>
      <c r="F652" s="458"/>
      <c r="G652" s="458"/>
      <c r="H652" s="458"/>
      <c r="I652" s="458"/>
      <c r="J652" s="458"/>
      <c r="K652" s="458"/>
      <c r="L652" s="458"/>
      <c r="M652" s="458"/>
      <c r="N652" s="458"/>
      <c r="O652" s="458"/>
      <c r="P652" s="458"/>
      <c r="Q652" s="458"/>
      <c r="R652" s="458"/>
      <c r="S652" s="458"/>
      <c r="T652" s="458"/>
      <c r="U652" s="458"/>
      <c r="V652" s="458"/>
      <c r="W652" s="458"/>
    </row>
    <row r="653" spans="1:23" ht="15.75" customHeight="1">
      <c r="A653" s="458"/>
      <c r="B653" s="458"/>
      <c r="C653" s="458"/>
      <c r="D653" s="458"/>
      <c r="E653" s="458"/>
      <c r="F653" s="458"/>
      <c r="G653" s="458"/>
      <c r="H653" s="458"/>
      <c r="I653" s="458"/>
      <c r="J653" s="458"/>
      <c r="K653" s="458"/>
      <c r="L653" s="458"/>
      <c r="M653" s="458"/>
      <c r="N653" s="458"/>
      <c r="O653" s="458"/>
      <c r="P653" s="458"/>
      <c r="Q653" s="458"/>
      <c r="R653" s="458"/>
      <c r="S653" s="458"/>
      <c r="T653" s="458"/>
      <c r="U653" s="458"/>
      <c r="V653" s="458"/>
      <c r="W653" s="458"/>
    </row>
    <row r="654" spans="1:23" ht="15.75" customHeight="1">
      <c r="A654" s="458"/>
      <c r="B654" s="458"/>
      <c r="C654" s="458"/>
      <c r="D654" s="458"/>
      <c r="E654" s="458"/>
      <c r="F654" s="458"/>
      <c r="G654" s="458"/>
      <c r="H654" s="458"/>
      <c r="I654" s="458"/>
      <c r="J654" s="458"/>
      <c r="K654" s="458"/>
      <c r="L654" s="458"/>
      <c r="M654" s="458"/>
      <c r="N654" s="458"/>
      <c r="O654" s="458"/>
      <c r="P654" s="458"/>
      <c r="Q654" s="458"/>
      <c r="R654" s="458"/>
      <c r="S654" s="458"/>
      <c r="T654" s="458"/>
      <c r="U654" s="458"/>
      <c r="V654" s="458"/>
      <c r="W654" s="458"/>
    </row>
    <row r="655" spans="1:23" ht="15.75" customHeight="1">
      <c r="A655" s="458"/>
      <c r="B655" s="458"/>
      <c r="C655" s="458"/>
      <c r="D655" s="458"/>
      <c r="E655" s="458"/>
      <c r="F655" s="458"/>
      <c r="G655" s="458"/>
      <c r="H655" s="458"/>
      <c r="I655" s="458"/>
      <c r="J655" s="458"/>
      <c r="K655" s="458"/>
      <c r="L655" s="458"/>
      <c r="M655" s="458"/>
      <c r="N655" s="458"/>
      <c r="O655" s="458"/>
      <c r="P655" s="458"/>
      <c r="Q655" s="458"/>
      <c r="R655" s="458"/>
      <c r="S655" s="458"/>
      <c r="T655" s="458"/>
      <c r="U655" s="458"/>
      <c r="V655" s="458"/>
      <c r="W655" s="458"/>
    </row>
    <row r="656" spans="1:23" ht="15.75" customHeight="1">
      <c r="A656" s="458"/>
      <c r="B656" s="458"/>
      <c r="C656" s="458"/>
      <c r="D656" s="458"/>
      <c r="E656" s="458"/>
      <c r="F656" s="458"/>
      <c r="G656" s="458"/>
      <c r="H656" s="458"/>
      <c r="I656" s="458"/>
      <c r="J656" s="458"/>
      <c r="K656" s="458"/>
      <c r="L656" s="458"/>
      <c r="M656" s="458"/>
      <c r="N656" s="458"/>
      <c r="O656" s="458"/>
      <c r="P656" s="458"/>
      <c r="Q656" s="458"/>
      <c r="R656" s="458"/>
      <c r="S656" s="458"/>
      <c r="T656" s="458"/>
      <c r="U656" s="458"/>
      <c r="V656" s="458"/>
      <c r="W656" s="458"/>
    </row>
    <row r="657" spans="1:23" ht="15.75" customHeight="1">
      <c r="A657" s="458"/>
      <c r="B657" s="458"/>
      <c r="C657" s="458"/>
      <c r="D657" s="458"/>
      <c r="E657" s="458"/>
      <c r="F657" s="458"/>
      <c r="G657" s="458"/>
      <c r="H657" s="458"/>
      <c r="I657" s="458"/>
      <c r="J657" s="458"/>
      <c r="K657" s="458"/>
      <c r="L657" s="458"/>
      <c r="M657" s="458"/>
      <c r="N657" s="458"/>
      <c r="O657" s="458"/>
      <c r="P657" s="458"/>
      <c r="Q657" s="458"/>
      <c r="R657" s="458"/>
      <c r="S657" s="458"/>
      <c r="T657" s="458"/>
      <c r="U657" s="458"/>
      <c r="V657" s="458"/>
      <c r="W657" s="458"/>
    </row>
    <row r="658" spans="1:23" ht="15.75" customHeight="1">
      <c r="A658" s="458"/>
      <c r="B658" s="458"/>
      <c r="C658" s="458"/>
      <c r="D658" s="458"/>
      <c r="E658" s="458"/>
      <c r="F658" s="458"/>
      <c r="G658" s="458"/>
      <c r="H658" s="458"/>
      <c r="I658" s="458"/>
      <c r="J658" s="458"/>
      <c r="K658" s="458"/>
      <c r="L658" s="458"/>
      <c r="M658" s="458"/>
      <c r="N658" s="458"/>
      <c r="O658" s="458"/>
      <c r="P658" s="458"/>
      <c r="Q658" s="458"/>
      <c r="R658" s="458"/>
      <c r="S658" s="458"/>
      <c r="T658" s="458"/>
      <c r="U658" s="458"/>
      <c r="V658" s="458"/>
      <c r="W658" s="458"/>
    </row>
    <row r="659" spans="1:23" ht="15.75" customHeight="1">
      <c r="A659" s="458"/>
      <c r="B659" s="458"/>
      <c r="C659" s="458"/>
      <c r="D659" s="458"/>
      <c r="E659" s="458"/>
      <c r="F659" s="458"/>
      <c r="G659" s="458"/>
      <c r="H659" s="458"/>
      <c r="I659" s="458"/>
      <c r="J659" s="458"/>
      <c r="K659" s="458"/>
      <c r="L659" s="458"/>
      <c r="M659" s="458"/>
      <c r="N659" s="458"/>
      <c r="O659" s="458"/>
      <c r="P659" s="458"/>
      <c r="Q659" s="458"/>
      <c r="R659" s="458"/>
      <c r="S659" s="458"/>
      <c r="T659" s="458"/>
      <c r="U659" s="458"/>
      <c r="V659" s="458"/>
      <c r="W659" s="458"/>
    </row>
    <row r="660" spans="1:23" ht="15.75" customHeight="1">
      <c r="A660" s="458"/>
      <c r="B660" s="458"/>
      <c r="C660" s="458"/>
      <c r="D660" s="458"/>
      <c r="E660" s="458"/>
      <c r="F660" s="458"/>
      <c r="G660" s="458"/>
      <c r="H660" s="458"/>
      <c r="I660" s="458"/>
      <c r="J660" s="458"/>
      <c r="K660" s="458"/>
      <c r="L660" s="458"/>
      <c r="M660" s="458"/>
      <c r="N660" s="458"/>
      <c r="O660" s="458"/>
      <c r="P660" s="458"/>
      <c r="Q660" s="458"/>
      <c r="R660" s="458"/>
      <c r="S660" s="458"/>
      <c r="T660" s="458"/>
      <c r="U660" s="458"/>
      <c r="V660" s="458"/>
      <c r="W660" s="458"/>
    </row>
    <row r="661" spans="1:23" ht="15.75" customHeight="1">
      <c r="A661" s="458"/>
      <c r="B661" s="458"/>
      <c r="C661" s="458"/>
      <c r="D661" s="458"/>
      <c r="E661" s="458"/>
      <c r="F661" s="458"/>
      <c r="G661" s="458"/>
      <c r="H661" s="458"/>
      <c r="I661" s="458"/>
      <c r="J661" s="458"/>
      <c r="K661" s="458"/>
      <c r="L661" s="458"/>
      <c r="M661" s="458"/>
      <c r="N661" s="458"/>
      <c r="O661" s="458"/>
      <c r="P661" s="458"/>
      <c r="Q661" s="458"/>
      <c r="R661" s="458"/>
      <c r="S661" s="458"/>
      <c r="T661" s="458"/>
      <c r="U661" s="458"/>
      <c r="V661" s="458"/>
      <c r="W661" s="458"/>
    </row>
    <row r="662" spans="1:23" ht="15.75" customHeight="1">
      <c r="A662" s="458"/>
      <c r="B662" s="458"/>
      <c r="C662" s="458"/>
      <c r="D662" s="458"/>
      <c r="E662" s="458"/>
      <c r="F662" s="458"/>
      <c r="G662" s="458"/>
      <c r="H662" s="458"/>
      <c r="I662" s="458"/>
      <c r="J662" s="458"/>
      <c r="K662" s="458"/>
      <c r="L662" s="458"/>
      <c r="M662" s="458"/>
      <c r="N662" s="458"/>
      <c r="O662" s="458"/>
      <c r="P662" s="458"/>
      <c r="Q662" s="458"/>
      <c r="R662" s="458"/>
      <c r="S662" s="458"/>
      <c r="T662" s="458"/>
      <c r="U662" s="458"/>
      <c r="V662" s="458"/>
      <c r="W662" s="458"/>
    </row>
    <row r="663" spans="1:23" ht="15.75" customHeight="1">
      <c r="A663" s="458"/>
      <c r="B663" s="458"/>
      <c r="C663" s="458"/>
      <c r="D663" s="458"/>
      <c r="E663" s="458"/>
      <c r="F663" s="458"/>
      <c r="G663" s="458"/>
      <c r="H663" s="458"/>
      <c r="I663" s="458"/>
      <c r="J663" s="458"/>
      <c r="K663" s="458"/>
      <c r="L663" s="458"/>
      <c r="M663" s="458"/>
      <c r="N663" s="458"/>
      <c r="O663" s="458"/>
      <c r="P663" s="458"/>
      <c r="Q663" s="458"/>
      <c r="R663" s="458"/>
      <c r="S663" s="458"/>
      <c r="T663" s="458"/>
      <c r="U663" s="458"/>
      <c r="V663" s="458"/>
      <c r="W663" s="458"/>
    </row>
    <row r="664" spans="1:23" ht="15.75" customHeight="1">
      <c r="A664" s="458"/>
      <c r="B664" s="458"/>
      <c r="C664" s="458"/>
      <c r="D664" s="458"/>
      <c r="E664" s="458"/>
      <c r="F664" s="458"/>
      <c r="G664" s="458"/>
      <c r="H664" s="458"/>
      <c r="I664" s="458"/>
      <c r="J664" s="458"/>
      <c r="K664" s="458"/>
      <c r="L664" s="458"/>
      <c r="M664" s="458"/>
      <c r="N664" s="458"/>
      <c r="O664" s="458"/>
      <c r="P664" s="458"/>
      <c r="Q664" s="458"/>
      <c r="R664" s="458"/>
      <c r="S664" s="458"/>
      <c r="T664" s="458"/>
      <c r="U664" s="458"/>
      <c r="V664" s="458"/>
      <c r="W664" s="458"/>
    </row>
    <row r="665" spans="1:23" ht="15.75" customHeight="1">
      <c r="A665" s="458"/>
      <c r="B665" s="458"/>
      <c r="C665" s="458"/>
      <c r="D665" s="458"/>
      <c r="E665" s="458"/>
      <c r="F665" s="458"/>
      <c r="G665" s="458"/>
      <c r="H665" s="458"/>
      <c r="I665" s="458"/>
      <c r="J665" s="458"/>
      <c r="K665" s="458"/>
      <c r="L665" s="458"/>
      <c r="M665" s="458"/>
      <c r="N665" s="458"/>
      <c r="O665" s="458"/>
      <c r="P665" s="458"/>
      <c r="Q665" s="458"/>
      <c r="R665" s="458"/>
      <c r="S665" s="458"/>
      <c r="T665" s="458"/>
      <c r="U665" s="458"/>
      <c r="V665" s="458"/>
      <c r="W665" s="458"/>
    </row>
    <row r="666" spans="1:23" ht="15.75" customHeight="1">
      <c r="A666" s="458"/>
      <c r="B666" s="458"/>
      <c r="C666" s="458"/>
      <c r="D666" s="458"/>
      <c r="E666" s="458"/>
      <c r="F666" s="458"/>
      <c r="G666" s="458"/>
      <c r="H666" s="458"/>
      <c r="I666" s="458"/>
      <c r="J666" s="458"/>
      <c r="K666" s="458"/>
      <c r="L666" s="458"/>
      <c r="M666" s="458"/>
      <c r="N666" s="458"/>
      <c r="O666" s="458"/>
      <c r="P666" s="458"/>
      <c r="Q666" s="458"/>
      <c r="R666" s="458"/>
      <c r="S666" s="458"/>
      <c r="T666" s="458"/>
      <c r="U666" s="458"/>
      <c r="V666" s="458"/>
      <c r="W666" s="458"/>
    </row>
    <row r="667" spans="1:23" ht="15.75" customHeight="1">
      <c r="A667" s="458"/>
      <c r="B667" s="458"/>
      <c r="C667" s="458"/>
      <c r="D667" s="458"/>
      <c r="E667" s="458"/>
      <c r="F667" s="458"/>
      <c r="G667" s="458"/>
      <c r="H667" s="458"/>
      <c r="I667" s="458"/>
      <c r="J667" s="458"/>
      <c r="K667" s="458"/>
      <c r="L667" s="458"/>
      <c r="M667" s="458"/>
      <c r="N667" s="458"/>
      <c r="O667" s="458"/>
      <c r="P667" s="458"/>
      <c r="Q667" s="458"/>
      <c r="R667" s="458"/>
      <c r="S667" s="458"/>
      <c r="T667" s="458"/>
      <c r="U667" s="458"/>
      <c r="V667" s="458"/>
      <c r="W667" s="458"/>
    </row>
    <row r="668" spans="1:23" ht="15.75" customHeight="1">
      <c r="A668" s="458"/>
      <c r="B668" s="458"/>
      <c r="C668" s="458"/>
      <c r="D668" s="458"/>
      <c r="E668" s="458"/>
      <c r="F668" s="458"/>
      <c r="G668" s="458"/>
      <c r="H668" s="458"/>
      <c r="I668" s="458"/>
      <c r="J668" s="458"/>
      <c r="K668" s="458"/>
      <c r="L668" s="458"/>
      <c r="M668" s="458"/>
      <c r="N668" s="458"/>
      <c r="O668" s="458"/>
      <c r="P668" s="458"/>
      <c r="Q668" s="458"/>
      <c r="R668" s="458"/>
      <c r="S668" s="458"/>
      <c r="T668" s="458"/>
      <c r="U668" s="458"/>
      <c r="V668" s="458"/>
      <c r="W668" s="458"/>
    </row>
    <row r="669" spans="1:23" ht="15.75" customHeight="1">
      <c r="A669" s="458"/>
      <c r="B669" s="458"/>
      <c r="C669" s="458"/>
      <c r="D669" s="458"/>
      <c r="E669" s="458"/>
      <c r="F669" s="458"/>
      <c r="G669" s="458"/>
      <c r="H669" s="458"/>
      <c r="I669" s="458"/>
      <c r="J669" s="458"/>
      <c r="K669" s="458"/>
      <c r="L669" s="458"/>
      <c r="M669" s="458"/>
      <c r="N669" s="458"/>
      <c r="O669" s="458"/>
      <c r="P669" s="458"/>
      <c r="Q669" s="458"/>
      <c r="R669" s="458"/>
      <c r="S669" s="458"/>
      <c r="T669" s="458"/>
      <c r="U669" s="458"/>
      <c r="V669" s="458"/>
      <c r="W669" s="458"/>
    </row>
    <row r="670" spans="1:23" ht="15.75" customHeight="1">
      <c r="A670" s="458"/>
      <c r="B670" s="458"/>
      <c r="C670" s="458"/>
      <c r="D670" s="458"/>
      <c r="E670" s="458"/>
      <c r="F670" s="458"/>
      <c r="G670" s="458"/>
      <c r="H670" s="458"/>
      <c r="I670" s="458"/>
      <c r="J670" s="458"/>
      <c r="K670" s="458"/>
      <c r="L670" s="458"/>
      <c r="M670" s="458"/>
      <c r="N670" s="458"/>
      <c r="O670" s="458"/>
      <c r="P670" s="458"/>
      <c r="Q670" s="458"/>
      <c r="R670" s="458"/>
      <c r="S670" s="458"/>
      <c r="T670" s="458"/>
      <c r="U670" s="458"/>
      <c r="V670" s="458"/>
      <c r="W670" s="458"/>
    </row>
    <row r="671" spans="1:23" ht="15.75" customHeight="1">
      <c r="A671" s="458"/>
      <c r="B671" s="458"/>
      <c r="C671" s="458"/>
      <c r="D671" s="458"/>
      <c r="E671" s="458"/>
      <c r="F671" s="458"/>
      <c r="G671" s="458"/>
      <c r="H671" s="458"/>
      <c r="I671" s="458"/>
      <c r="J671" s="458"/>
      <c r="K671" s="458"/>
      <c r="L671" s="458"/>
      <c r="M671" s="458"/>
      <c r="N671" s="458"/>
      <c r="O671" s="458"/>
      <c r="P671" s="458"/>
      <c r="Q671" s="458"/>
      <c r="R671" s="458"/>
      <c r="S671" s="458"/>
      <c r="T671" s="458"/>
      <c r="U671" s="458"/>
      <c r="V671" s="458"/>
      <c r="W671" s="458"/>
    </row>
    <row r="672" spans="1:23" ht="15.75" customHeight="1">
      <c r="A672" s="458"/>
      <c r="B672" s="458"/>
      <c r="C672" s="458"/>
      <c r="D672" s="458"/>
      <c r="E672" s="458"/>
      <c r="F672" s="458"/>
      <c r="G672" s="458"/>
      <c r="H672" s="458"/>
      <c r="I672" s="458"/>
      <c r="J672" s="458"/>
      <c r="K672" s="458"/>
      <c r="L672" s="458"/>
      <c r="M672" s="458"/>
      <c r="N672" s="458"/>
      <c r="O672" s="458"/>
      <c r="P672" s="458"/>
      <c r="Q672" s="458"/>
      <c r="R672" s="458"/>
      <c r="S672" s="458"/>
      <c r="T672" s="458"/>
      <c r="U672" s="458"/>
      <c r="V672" s="458"/>
      <c r="W672" s="458"/>
    </row>
    <row r="673" spans="1:23" ht="15.75" customHeight="1">
      <c r="A673" s="458"/>
      <c r="B673" s="458"/>
      <c r="C673" s="458"/>
      <c r="D673" s="458"/>
      <c r="E673" s="458"/>
      <c r="F673" s="458"/>
      <c r="G673" s="458"/>
      <c r="H673" s="458"/>
      <c r="I673" s="458"/>
      <c r="J673" s="458"/>
      <c r="K673" s="458"/>
      <c r="L673" s="458"/>
      <c r="M673" s="458"/>
      <c r="N673" s="458"/>
      <c r="O673" s="458"/>
      <c r="P673" s="458"/>
      <c r="Q673" s="458"/>
      <c r="R673" s="458"/>
      <c r="S673" s="458"/>
      <c r="T673" s="458"/>
      <c r="U673" s="458"/>
      <c r="V673" s="458"/>
      <c r="W673" s="458"/>
    </row>
    <row r="674" spans="1:23" ht="15.75" customHeight="1">
      <c r="A674" s="458"/>
      <c r="B674" s="458"/>
      <c r="C674" s="458"/>
      <c r="D674" s="458"/>
      <c r="E674" s="458"/>
      <c r="F674" s="458"/>
      <c r="G674" s="458"/>
      <c r="H674" s="458"/>
      <c r="I674" s="458"/>
      <c r="J674" s="458"/>
      <c r="K674" s="458"/>
      <c r="L674" s="458"/>
      <c r="M674" s="458"/>
      <c r="N674" s="458"/>
      <c r="O674" s="458"/>
      <c r="P674" s="458"/>
      <c r="Q674" s="458"/>
      <c r="R674" s="458"/>
      <c r="S674" s="458"/>
      <c r="T674" s="458"/>
      <c r="U674" s="458"/>
      <c r="V674" s="458"/>
      <c r="W674" s="458"/>
    </row>
    <row r="675" spans="1:23" ht="15.75" customHeight="1">
      <c r="A675" s="458"/>
      <c r="B675" s="458"/>
      <c r="C675" s="458"/>
      <c r="D675" s="458"/>
      <c r="E675" s="458"/>
      <c r="F675" s="458"/>
      <c r="G675" s="458"/>
      <c r="H675" s="458"/>
      <c r="I675" s="458"/>
      <c r="J675" s="458"/>
      <c r="K675" s="458"/>
      <c r="L675" s="458"/>
      <c r="M675" s="458"/>
      <c r="N675" s="458"/>
      <c r="O675" s="458"/>
      <c r="P675" s="458"/>
      <c r="Q675" s="458"/>
      <c r="R675" s="458"/>
      <c r="S675" s="458"/>
      <c r="T675" s="458"/>
      <c r="U675" s="458"/>
      <c r="V675" s="458"/>
      <c r="W675" s="458"/>
    </row>
    <row r="676" spans="1:23" ht="15.75" customHeight="1">
      <c r="A676" s="458"/>
      <c r="B676" s="458"/>
      <c r="C676" s="458"/>
      <c r="D676" s="458"/>
      <c r="E676" s="458"/>
      <c r="F676" s="458"/>
      <c r="G676" s="458"/>
      <c r="H676" s="458"/>
      <c r="I676" s="458"/>
      <c r="J676" s="458"/>
      <c r="K676" s="458"/>
      <c r="L676" s="458"/>
      <c r="M676" s="458"/>
      <c r="N676" s="458"/>
      <c r="O676" s="458"/>
      <c r="P676" s="458"/>
      <c r="Q676" s="458"/>
      <c r="R676" s="458"/>
      <c r="S676" s="458"/>
      <c r="T676" s="458"/>
      <c r="U676" s="458"/>
      <c r="V676" s="458"/>
      <c r="W676" s="458"/>
    </row>
    <row r="677" spans="1:23" ht="15.75" customHeight="1">
      <c r="A677" s="458"/>
      <c r="B677" s="458"/>
      <c r="C677" s="458"/>
      <c r="D677" s="458"/>
      <c r="E677" s="458"/>
      <c r="F677" s="458"/>
      <c r="G677" s="458"/>
      <c r="H677" s="458"/>
      <c r="I677" s="458"/>
      <c r="J677" s="458"/>
      <c r="K677" s="458"/>
      <c r="L677" s="458"/>
      <c r="M677" s="458"/>
      <c r="N677" s="458"/>
      <c r="O677" s="458"/>
      <c r="P677" s="458"/>
      <c r="Q677" s="458"/>
      <c r="R677" s="458"/>
      <c r="S677" s="458"/>
      <c r="T677" s="458"/>
      <c r="U677" s="458"/>
      <c r="V677" s="458"/>
      <c r="W677" s="458"/>
    </row>
    <row r="678" spans="1:23" ht="15.75" customHeight="1">
      <c r="A678" s="458"/>
      <c r="B678" s="458"/>
      <c r="C678" s="458"/>
      <c r="D678" s="458"/>
      <c r="E678" s="458"/>
      <c r="F678" s="458"/>
      <c r="G678" s="458"/>
      <c r="H678" s="458"/>
      <c r="I678" s="458"/>
      <c r="J678" s="458"/>
      <c r="K678" s="458"/>
      <c r="L678" s="458"/>
      <c r="M678" s="458"/>
      <c r="N678" s="458"/>
      <c r="O678" s="458"/>
      <c r="P678" s="458"/>
      <c r="Q678" s="458"/>
      <c r="R678" s="458"/>
      <c r="S678" s="458"/>
      <c r="T678" s="458"/>
      <c r="U678" s="458"/>
      <c r="V678" s="458"/>
      <c r="W678" s="458"/>
    </row>
    <row r="679" spans="1:23" ht="15.75" customHeight="1">
      <c r="A679" s="458"/>
      <c r="B679" s="458"/>
      <c r="C679" s="458"/>
      <c r="D679" s="458"/>
      <c r="E679" s="458"/>
      <c r="F679" s="458"/>
      <c r="G679" s="458"/>
      <c r="H679" s="458"/>
      <c r="I679" s="458"/>
      <c r="J679" s="458"/>
      <c r="K679" s="458"/>
      <c r="L679" s="458"/>
      <c r="M679" s="458"/>
      <c r="N679" s="458"/>
      <c r="O679" s="458"/>
      <c r="P679" s="458"/>
      <c r="Q679" s="458"/>
      <c r="R679" s="458"/>
      <c r="S679" s="458"/>
      <c r="T679" s="458"/>
      <c r="U679" s="458"/>
      <c r="V679" s="458"/>
      <c r="W679" s="458"/>
    </row>
    <row r="680" spans="1:23" ht="15.75" customHeight="1">
      <c r="A680" s="458"/>
      <c r="B680" s="458"/>
      <c r="C680" s="458"/>
      <c r="D680" s="458"/>
      <c r="E680" s="458"/>
      <c r="F680" s="458"/>
      <c r="G680" s="458"/>
      <c r="H680" s="458"/>
      <c r="I680" s="458"/>
      <c r="J680" s="458"/>
      <c r="K680" s="458"/>
      <c r="L680" s="458"/>
      <c r="M680" s="458"/>
      <c r="N680" s="458"/>
      <c r="O680" s="458"/>
      <c r="P680" s="458"/>
      <c r="Q680" s="458"/>
      <c r="R680" s="458"/>
      <c r="S680" s="458"/>
      <c r="T680" s="458"/>
      <c r="U680" s="458"/>
      <c r="V680" s="458"/>
      <c r="W680" s="458"/>
    </row>
    <row r="681" spans="1:23" ht="15.75" customHeight="1">
      <c r="A681" s="458"/>
      <c r="B681" s="458"/>
      <c r="C681" s="458"/>
      <c r="D681" s="458"/>
      <c r="E681" s="458"/>
      <c r="F681" s="458"/>
      <c r="G681" s="458"/>
      <c r="H681" s="458"/>
      <c r="I681" s="458"/>
      <c r="J681" s="458"/>
      <c r="K681" s="458"/>
      <c r="L681" s="458"/>
      <c r="M681" s="458"/>
      <c r="N681" s="458"/>
      <c r="O681" s="458"/>
      <c r="P681" s="458"/>
      <c r="Q681" s="458"/>
      <c r="R681" s="458"/>
      <c r="S681" s="458"/>
      <c r="T681" s="458"/>
      <c r="U681" s="458"/>
      <c r="V681" s="458"/>
      <c r="W681" s="458"/>
    </row>
    <row r="682" spans="1:23" ht="15.75" customHeight="1">
      <c r="A682" s="458"/>
      <c r="B682" s="458"/>
      <c r="C682" s="458"/>
      <c r="D682" s="458"/>
      <c r="E682" s="458"/>
      <c r="F682" s="458"/>
      <c r="G682" s="458"/>
      <c r="H682" s="458"/>
      <c r="I682" s="458"/>
      <c r="J682" s="458"/>
      <c r="K682" s="458"/>
      <c r="L682" s="458"/>
      <c r="M682" s="458"/>
      <c r="N682" s="458"/>
      <c r="O682" s="458"/>
      <c r="P682" s="458"/>
      <c r="Q682" s="458"/>
      <c r="R682" s="458"/>
      <c r="S682" s="458"/>
      <c r="T682" s="458"/>
      <c r="U682" s="458"/>
      <c r="V682" s="458"/>
      <c r="W682" s="458"/>
    </row>
    <row r="683" spans="1:23" ht="15.75" customHeight="1">
      <c r="A683" s="458"/>
      <c r="B683" s="458"/>
      <c r="C683" s="458"/>
      <c r="D683" s="458"/>
      <c r="E683" s="458"/>
      <c r="F683" s="458"/>
      <c r="G683" s="458"/>
      <c r="H683" s="458"/>
      <c r="I683" s="458"/>
      <c r="J683" s="458"/>
      <c r="K683" s="458"/>
      <c r="L683" s="458"/>
      <c r="M683" s="458"/>
      <c r="N683" s="458"/>
      <c r="O683" s="458"/>
      <c r="P683" s="458"/>
      <c r="Q683" s="458"/>
      <c r="R683" s="458"/>
      <c r="S683" s="458"/>
      <c r="T683" s="458"/>
      <c r="U683" s="458"/>
      <c r="V683" s="458"/>
      <c r="W683" s="458"/>
    </row>
    <row r="684" spans="1:23" ht="15.75" customHeight="1">
      <c r="A684" s="458"/>
      <c r="B684" s="458"/>
      <c r="C684" s="458"/>
      <c r="D684" s="458"/>
      <c r="E684" s="458"/>
      <c r="F684" s="458"/>
      <c r="G684" s="458"/>
      <c r="H684" s="458"/>
      <c r="I684" s="458"/>
      <c r="J684" s="458"/>
      <c r="K684" s="458"/>
      <c r="L684" s="458"/>
      <c r="M684" s="458"/>
      <c r="N684" s="458"/>
      <c r="O684" s="458"/>
      <c r="P684" s="458"/>
      <c r="Q684" s="458"/>
      <c r="R684" s="458"/>
      <c r="S684" s="458"/>
      <c r="T684" s="458"/>
      <c r="U684" s="458"/>
      <c r="V684" s="458"/>
      <c r="W684" s="458"/>
    </row>
    <row r="685" spans="1:23" ht="15.75" customHeight="1">
      <c r="A685" s="458"/>
      <c r="B685" s="458"/>
      <c r="C685" s="458"/>
      <c r="D685" s="458"/>
      <c r="E685" s="458"/>
      <c r="F685" s="458"/>
      <c r="G685" s="458"/>
      <c r="H685" s="458"/>
      <c r="I685" s="458"/>
      <c r="J685" s="458"/>
      <c r="K685" s="458"/>
      <c r="L685" s="458"/>
      <c r="M685" s="458"/>
      <c r="N685" s="458"/>
      <c r="O685" s="458"/>
      <c r="P685" s="458"/>
      <c r="Q685" s="458"/>
      <c r="R685" s="458"/>
      <c r="S685" s="458"/>
      <c r="T685" s="458"/>
      <c r="U685" s="458"/>
      <c r="V685" s="458"/>
      <c r="W685" s="458"/>
    </row>
    <row r="686" spans="1:23" ht="15.75" customHeight="1">
      <c r="A686" s="458"/>
      <c r="B686" s="458"/>
      <c r="C686" s="458"/>
      <c r="D686" s="458"/>
      <c r="E686" s="458"/>
      <c r="F686" s="458"/>
      <c r="G686" s="458"/>
      <c r="H686" s="458"/>
      <c r="I686" s="458"/>
      <c r="J686" s="458"/>
      <c r="K686" s="458"/>
      <c r="L686" s="458"/>
      <c r="M686" s="458"/>
      <c r="N686" s="458"/>
      <c r="O686" s="458"/>
      <c r="P686" s="458"/>
      <c r="Q686" s="458"/>
      <c r="R686" s="458"/>
      <c r="S686" s="458"/>
      <c r="T686" s="458"/>
      <c r="U686" s="458"/>
      <c r="V686" s="458"/>
      <c r="W686" s="458"/>
    </row>
    <row r="687" spans="1:23" ht="15.75" customHeight="1">
      <c r="A687" s="458"/>
      <c r="B687" s="458"/>
      <c r="C687" s="458"/>
      <c r="D687" s="458"/>
      <c r="E687" s="458"/>
      <c r="F687" s="458"/>
      <c r="G687" s="458"/>
      <c r="H687" s="458"/>
      <c r="I687" s="458"/>
      <c r="J687" s="458"/>
      <c r="K687" s="458"/>
      <c r="L687" s="458"/>
      <c r="M687" s="458"/>
      <c r="N687" s="458"/>
      <c r="O687" s="458"/>
      <c r="P687" s="458"/>
      <c r="Q687" s="458"/>
      <c r="R687" s="458"/>
      <c r="S687" s="458"/>
      <c r="T687" s="458"/>
      <c r="U687" s="458"/>
      <c r="V687" s="458"/>
      <c r="W687" s="458"/>
    </row>
    <row r="688" spans="1:23" ht="15.75" customHeight="1">
      <c r="A688" s="458"/>
      <c r="B688" s="458"/>
      <c r="C688" s="458"/>
      <c r="D688" s="458"/>
      <c r="E688" s="458"/>
      <c r="F688" s="458"/>
      <c r="G688" s="458"/>
      <c r="H688" s="458"/>
      <c r="I688" s="458"/>
      <c r="J688" s="458"/>
      <c r="K688" s="458"/>
      <c r="L688" s="458"/>
      <c r="M688" s="458"/>
      <c r="N688" s="458"/>
      <c r="O688" s="458"/>
      <c r="P688" s="458"/>
      <c r="Q688" s="458"/>
      <c r="R688" s="458"/>
      <c r="S688" s="458"/>
      <c r="T688" s="458"/>
      <c r="U688" s="458"/>
      <c r="V688" s="458"/>
      <c r="W688" s="458"/>
    </row>
    <row r="689" spans="1:23" ht="15.75" customHeight="1">
      <c r="A689" s="458"/>
      <c r="B689" s="458"/>
      <c r="C689" s="458"/>
      <c r="D689" s="458"/>
      <c r="E689" s="458"/>
      <c r="F689" s="458"/>
      <c r="G689" s="458"/>
      <c r="H689" s="458"/>
      <c r="I689" s="458"/>
      <c r="J689" s="458"/>
      <c r="K689" s="458"/>
      <c r="L689" s="458"/>
      <c r="M689" s="458"/>
      <c r="N689" s="458"/>
      <c r="O689" s="458"/>
      <c r="P689" s="458"/>
      <c r="Q689" s="458"/>
      <c r="R689" s="458"/>
      <c r="S689" s="458"/>
      <c r="T689" s="458"/>
      <c r="U689" s="458"/>
      <c r="V689" s="458"/>
      <c r="W689" s="458"/>
    </row>
    <row r="690" spans="1:23" ht="15.75" customHeight="1">
      <c r="A690" s="458"/>
      <c r="B690" s="458"/>
      <c r="C690" s="458"/>
      <c r="D690" s="458"/>
      <c r="E690" s="458"/>
      <c r="F690" s="458"/>
      <c r="G690" s="458"/>
      <c r="H690" s="458"/>
      <c r="I690" s="458"/>
      <c r="J690" s="458"/>
      <c r="K690" s="458"/>
      <c r="L690" s="458"/>
      <c r="M690" s="458"/>
      <c r="N690" s="458"/>
      <c r="O690" s="458"/>
      <c r="P690" s="458"/>
      <c r="Q690" s="458"/>
      <c r="R690" s="458"/>
      <c r="S690" s="458"/>
      <c r="T690" s="458"/>
      <c r="U690" s="458"/>
      <c r="V690" s="458"/>
      <c r="W690" s="458"/>
    </row>
    <row r="691" spans="1:23" ht="15.75" customHeight="1">
      <c r="A691" s="458"/>
      <c r="B691" s="458"/>
      <c r="C691" s="458"/>
      <c r="D691" s="458"/>
      <c r="E691" s="458"/>
      <c r="F691" s="458"/>
      <c r="G691" s="458"/>
      <c r="H691" s="458"/>
      <c r="I691" s="458"/>
      <c r="J691" s="458"/>
      <c r="K691" s="458"/>
      <c r="L691" s="458"/>
      <c r="M691" s="458"/>
      <c r="N691" s="458"/>
      <c r="O691" s="458"/>
      <c r="P691" s="458"/>
      <c r="Q691" s="458"/>
      <c r="R691" s="458"/>
      <c r="S691" s="458"/>
      <c r="T691" s="458"/>
      <c r="U691" s="458"/>
      <c r="V691" s="458"/>
      <c r="W691" s="458"/>
    </row>
    <row r="692" spans="1:23" ht="15.75" customHeight="1">
      <c r="A692" s="458"/>
      <c r="B692" s="458"/>
      <c r="C692" s="458"/>
      <c r="D692" s="458"/>
      <c r="E692" s="458"/>
      <c r="F692" s="458"/>
      <c r="G692" s="458"/>
      <c r="H692" s="458"/>
      <c r="I692" s="458"/>
      <c r="J692" s="458"/>
      <c r="K692" s="458"/>
      <c r="L692" s="458"/>
      <c r="M692" s="458"/>
      <c r="N692" s="458"/>
      <c r="O692" s="458"/>
      <c r="P692" s="458"/>
      <c r="Q692" s="458"/>
      <c r="R692" s="458"/>
      <c r="S692" s="458"/>
      <c r="T692" s="458"/>
      <c r="U692" s="458"/>
      <c r="V692" s="458"/>
      <c r="W692" s="458"/>
    </row>
    <row r="693" spans="1:23" ht="15.75" customHeight="1">
      <c r="A693" s="458"/>
      <c r="B693" s="458"/>
      <c r="C693" s="458"/>
      <c r="D693" s="458"/>
      <c r="E693" s="458"/>
      <c r="F693" s="458"/>
      <c r="G693" s="458"/>
      <c r="H693" s="458"/>
      <c r="I693" s="458"/>
      <c r="J693" s="458"/>
      <c r="K693" s="458"/>
      <c r="L693" s="458"/>
      <c r="M693" s="458"/>
      <c r="N693" s="458"/>
      <c r="O693" s="458"/>
      <c r="P693" s="458"/>
      <c r="Q693" s="458"/>
      <c r="R693" s="458"/>
      <c r="S693" s="458"/>
      <c r="T693" s="458"/>
      <c r="U693" s="458"/>
      <c r="V693" s="458"/>
      <c r="W693" s="458"/>
    </row>
    <row r="694" spans="1:23" ht="15.75" customHeight="1">
      <c r="A694" s="458"/>
      <c r="B694" s="458"/>
      <c r="C694" s="458"/>
      <c r="D694" s="458"/>
      <c r="E694" s="458"/>
      <c r="F694" s="458"/>
      <c r="G694" s="458"/>
      <c r="H694" s="458"/>
      <c r="I694" s="458"/>
      <c r="J694" s="458"/>
      <c r="K694" s="458"/>
      <c r="L694" s="458"/>
      <c r="M694" s="458"/>
      <c r="N694" s="458"/>
      <c r="O694" s="458"/>
      <c r="P694" s="458"/>
      <c r="Q694" s="458"/>
      <c r="R694" s="458"/>
      <c r="S694" s="458"/>
      <c r="T694" s="458"/>
      <c r="U694" s="458"/>
      <c r="V694" s="458"/>
      <c r="W694" s="458"/>
    </row>
    <row r="695" spans="1:23" ht="15.75" customHeight="1">
      <c r="A695" s="458"/>
      <c r="B695" s="458"/>
      <c r="C695" s="458"/>
      <c r="D695" s="458"/>
      <c r="E695" s="458"/>
      <c r="F695" s="458"/>
      <c r="G695" s="458"/>
      <c r="H695" s="458"/>
      <c r="I695" s="458"/>
      <c r="J695" s="458"/>
      <c r="K695" s="458"/>
      <c r="L695" s="458"/>
      <c r="M695" s="458"/>
      <c r="N695" s="458"/>
      <c r="O695" s="458"/>
      <c r="P695" s="458"/>
      <c r="Q695" s="458"/>
      <c r="R695" s="458"/>
      <c r="S695" s="458"/>
      <c r="T695" s="458"/>
      <c r="U695" s="458"/>
      <c r="V695" s="458"/>
      <c r="W695" s="458"/>
    </row>
    <row r="696" spans="1:23" ht="15.75" customHeight="1">
      <c r="A696" s="458"/>
      <c r="B696" s="458"/>
      <c r="C696" s="458"/>
      <c r="D696" s="458"/>
      <c r="E696" s="458"/>
      <c r="F696" s="458"/>
      <c r="G696" s="458"/>
      <c r="H696" s="458"/>
      <c r="I696" s="458"/>
      <c r="J696" s="458"/>
      <c r="K696" s="458"/>
      <c r="L696" s="458"/>
      <c r="M696" s="458"/>
      <c r="N696" s="458"/>
      <c r="O696" s="458"/>
      <c r="P696" s="458"/>
      <c r="Q696" s="458"/>
      <c r="R696" s="458"/>
      <c r="S696" s="458"/>
      <c r="T696" s="458"/>
      <c r="U696" s="458"/>
      <c r="V696" s="458"/>
      <c r="W696" s="458"/>
    </row>
    <row r="697" spans="1:23" ht="15.75" customHeight="1">
      <c r="A697" s="458"/>
      <c r="B697" s="458"/>
      <c r="C697" s="458"/>
      <c r="D697" s="458"/>
      <c r="E697" s="458"/>
      <c r="F697" s="458"/>
      <c r="G697" s="458"/>
      <c r="H697" s="458"/>
      <c r="I697" s="458"/>
      <c r="J697" s="458"/>
      <c r="K697" s="458"/>
      <c r="L697" s="458"/>
      <c r="M697" s="458"/>
      <c r="N697" s="458"/>
      <c r="O697" s="458"/>
      <c r="P697" s="458"/>
      <c r="Q697" s="458"/>
      <c r="R697" s="458"/>
      <c r="S697" s="458"/>
      <c r="T697" s="458"/>
      <c r="U697" s="458"/>
      <c r="V697" s="458"/>
      <c r="W697" s="458"/>
    </row>
    <row r="698" spans="1:23" ht="15.75" customHeight="1">
      <c r="A698" s="458"/>
      <c r="B698" s="458"/>
      <c r="C698" s="458"/>
      <c r="D698" s="458"/>
      <c r="E698" s="458"/>
      <c r="F698" s="458"/>
      <c r="G698" s="458"/>
      <c r="H698" s="458"/>
      <c r="I698" s="458"/>
      <c r="J698" s="458"/>
      <c r="K698" s="458"/>
      <c r="L698" s="458"/>
      <c r="M698" s="458"/>
      <c r="N698" s="458"/>
      <c r="O698" s="458"/>
      <c r="P698" s="458"/>
      <c r="Q698" s="458"/>
      <c r="R698" s="458"/>
      <c r="S698" s="458"/>
      <c r="T698" s="458"/>
      <c r="U698" s="458"/>
      <c r="V698" s="458"/>
      <c r="W698" s="458"/>
    </row>
    <row r="699" spans="1:23" ht="15.75" customHeight="1">
      <c r="A699" s="458"/>
      <c r="B699" s="458"/>
      <c r="C699" s="458"/>
      <c r="D699" s="458"/>
      <c r="E699" s="458"/>
      <c r="F699" s="458"/>
      <c r="G699" s="458"/>
      <c r="H699" s="458"/>
      <c r="I699" s="458"/>
      <c r="J699" s="458"/>
      <c r="K699" s="458"/>
      <c r="L699" s="458"/>
      <c r="M699" s="458"/>
      <c r="N699" s="458"/>
      <c r="O699" s="458"/>
      <c r="P699" s="458"/>
      <c r="Q699" s="458"/>
      <c r="R699" s="458"/>
      <c r="S699" s="458"/>
      <c r="T699" s="458"/>
      <c r="U699" s="458"/>
      <c r="V699" s="458"/>
      <c r="W699" s="458"/>
    </row>
    <row r="700" spans="1:23" ht="15.75" customHeight="1">
      <c r="A700" s="458"/>
      <c r="B700" s="458"/>
      <c r="C700" s="458"/>
      <c r="D700" s="458"/>
      <c r="E700" s="458"/>
      <c r="F700" s="458"/>
      <c r="G700" s="458"/>
      <c r="H700" s="458"/>
      <c r="I700" s="458"/>
      <c r="J700" s="458"/>
      <c r="K700" s="458"/>
      <c r="L700" s="458"/>
      <c r="M700" s="458"/>
      <c r="N700" s="458"/>
      <c r="O700" s="458"/>
      <c r="P700" s="458"/>
      <c r="Q700" s="458"/>
      <c r="R700" s="458"/>
      <c r="S700" s="458"/>
      <c r="T700" s="458"/>
      <c r="U700" s="458"/>
      <c r="V700" s="458"/>
      <c r="W700" s="458"/>
    </row>
    <row r="701" spans="1:23" ht="15.75" customHeight="1">
      <c r="A701" s="458"/>
      <c r="B701" s="458"/>
      <c r="C701" s="458"/>
      <c r="D701" s="458"/>
      <c r="E701" s="458"/>
      <c r="F701" s="458"/>
      <c r="G701" s="458"/>
      <c r="H701" s="458"/>
      <c r="I701" s="458"/>
      <c r="J701" s="458"/>
      <c r="K701" s="458"/>
      <c r="L701" s="458"/>
      <c r="M701" s="458"/>
      <c r="N701" s="458"/>
      <c r="O701" s="458"/>
      <c r="P701" s="458"/>
      <c r="Q701" s="458"/>
      <c r="R701" s="458"/>
      <c r="S701" s="458"/>
      <c r="T701" s="458"/>
      <c r="U701" s="458"/>
      <c r="V701" s="458"/>
      <c r="W701" s="458"/>
    </row>
    <row r="702" spans="1:23" ht="15.75" customHeight="1">
      <c r="A702" s="458"/>
      <c r="B702" s="458"/>
      <c r="C702" s="458"/>
      <c r="D702" s="458"/>
      <c r="E702" s="458"/>
      <c r="F702" s="458"/>
      <c r="G702" s="458"/>
      <c r="H702" s="458"/>
      <c r="I702" s="458"/>
      <c r="J702" s="458"/>
      <c r="K702" s="458"/>
      <c r="L702" s="458"/>
      <c r="M702" s="458"/>
      <c r="N702" s="458"/>
      <c r="O702" s="458"/>
      <c r="P702" s="458"/>
      <c r="Q702" s="458"/>
      <c r="R702" s="458"/>
      <c r="S702" s="458"/>
      <c r="T702" s="458"/>
      <c r="U702" s="458"/>
      <c r="V702" s="458"/>
      <c r="W702" s="458"/>
    </row>
    <row r="703" spans="1:23" ht="15.75" customHeight="1">
      <c r="A703" s="458"/>
      <c r="B703" s="458"/>
      <c r="C703" s="458"/>
      <c r="D703" s="458"/>
      <c r="E703" s="458"/>
      <c r="F703" s="458"/>
      <c r="G703" s="458"/>
      <c r="H703" s="458"/>
      <c r="I703" s="458"/>
      <c r="J703" s="458"/>
      <c r="K703" s="458"/>
      <c r="L703" s="458"/>
      <c r="M703" s="458"/>
      <c r="N703" s="458"/>
      <c r="O703" s="458"/>
      <c r="P703" s="458"/>
      <c r="Q703" s="458"/>
      <c r="R703" s="458"/>
      <c r="S703" s="458"/>
      <c r="T703" s="458"/>
      <c r="U703" s="458"/>
      <c r="V703" s="458"/>
      <c r="W703" s="458"/>
    </row>
    <row r="704" spans="1:23" ht="15.75" customHeight="1">
      <c r="A704" s="458"/>
      <c r="B704" s="458"/>
      <c r="C704" s="458"/>
      <c r="D704" s="458"/>
      <c r="E704" s="458"/>
      <c r="F704" s="458"/>
      <c r="G704" s="458"/>
      <c r="H704" s="458"/>
      <c r="I704" s="458"/>
      <c r="J704" s="458"/>
      <c r="K704" s="458"/>
      <c r="L704" s="458"/>
      <c r="M704" s="458"/>
      <c r="N704" s="458"/>
      <c r="O704" s="458"/>
      <c r="P704" s="458"/>
      <c r="Q704" s="458"/>
      <c r="R704" s="458"/>
      <c r="S704" s="458"/>
      <c r="T704" s="458"/>
      <c r="U704" s="458"/>
      <c r="V704" s="458"/>
      <c r="W704" s="458"/>
    </row>
    <row r="705" spans="1:23" ht="15.75" customHeight="1">
      <c r="A705" s="458"/>
      <c r="B705" s="458"/>
      <c r="C705" s="458"/>
      <c r="D705" s="458"/>
      <c r="E705" s="458"/>
      <c r="F705" s="458"/>
      <c r="G705" s="458"/>
      <c r="H705" s="458"/>
      <c r="I705" s="458"/>
      <c r="J705" s="458"/>
      <c r="K705" s="458"/>
      <c r="L705" s="458"/>
      <c r="M705" s="458"/>
      <c r="N705" s="458"/>
      <c r="O705" s="458"/>
      <c r="P705" s="458"/>
      <c r="Q705" s="458"/>
      <c r="R705" s="458"/>
      <c r="S705" s="458"/>
      <c r="T705" s="458"/>
      <c r="U705" s="458"/>
      <c r="V705" s="458"/>
      <c r="W705" s="458"/>
    </row>
    <row r="706" spans="1:23" ht="15.75" customHeight="1">
      <c r="A706" s="458"/>
      <c r="B706" s="458"/>
      <c r="C706" s="458"/>
      <c r="D706" s="458"/>
      <c r="E706" s="458"/>
      <c r="F706" s="458"/>
      <c r="G706" s="458"/>
      <c r="H706" s="458"/>
      <c r="I706" s="458"/>
      <c r="J706" s="458"/>
      <c r="K706" s="458"/>
      <c r="L706" s="458"/>
      <c r="M706" s="458"/>
      <c r="N706" s="458"/>
      <c r="O706" s="458"/>
      <c r="P706" s="458"/>
      <c r="Q706" s="458"/>
      <c r="R706" s="458"/>
      <c r="S706" s="458"/>
      <c r="T706" s="458"/>
      <c r="U706" s="458"/>
      <c r="V706" s="458"/>
      <c r="W706" s="458"/>
    </row>
    <row r="707" spans="1:23" ht="15.75" customHeight="1">
      <c r="A707" s="458"/>
      <c r="B707" s="458"/>
      <c r="C707" s="458"/>
      <c r="D707" s="458"/>
      <c r="E707" s="458"/>
      <c r="F707" s="458"/>
      <c r="G707" s="458"/>
      <c r="H707" s="458"/>
      <c r="I707" s="458"/>
      <c r="J707" s="458"/>
      <c r="K707" s="458"/>
      <c r="L707" s="458"/>
      <c r="M707" s="458"/>
      <c r="N707" s="458"/>
      <c r="O707" s="458"/>
      <c r="P707" s="458"/>
      <c r="Q707" s="458"/>
      <c r="R707" s="458"/>
      <c r="S707" s="458"/>
      <c r="T707" s="458"/>
      <c r="U707" s="458"/>
      <c r="V707" s="458"/>
      <c r="W707" s="458"/>
    </row>
    <row r="708" spans="1:23" ht="15.75" customHeight="1">
      <c r="A708" s="458"/>
      <c r="B708" s="458"/>
      <c r="C708" s="458"/>
      <c r="D708" s="458"/>
      <c r="E708" s="458"/>
      <c r="F708" s="458"/>
      <c r="G708" s="458"/>
      <c r="H708" s="458"/>
      <c r="I708" s="458"/>
      <c r="J708" s="458"/>
      <c r="K708" s="458"/>
      <c r="L708" s="458"/>
      <c r="M708" s="458"/>
      <c r="N708" s="458"/>
      <c r="O708" s="458"/>
      <c r="P708" s="458"/>
      <c r="Q708" s="458"/>
      <c r="R708" s="458"/>
      <c r="S708" s="458"/>
      <c r="T708" s="458"/>
      <c r="U708" s="458"/>
      <c r="V708" s="458"/>
      <c r="W708" s="458"/>
    </row>
    <row r="709" spans="1:23" ht="15.75" customHeight="1">
      <c r="A709" s="458"/>
      <c r="B709" s="458"/>
      <c r="C709" s="458"/>
      <c r="D709" s="458"/>
      <c r="E709" s="458"/>
      <c r="F709" s="458"/>
      <c r="G709" s="458"/>
      <c r="H709" s="458"/>
      <c r="I709" s="458"/>
      <c r="J709" s="458"/>
      <c r="K709" s="458"/>
      <c r="L709" s="458"/>
      <c r="M709" s="458"/>
      <c r="N709" s="458"/>
      <c r="O709" s="458"/>
      <c r="P709" s="458"/>
      <c r="Q709" s="458"/>
      <c r="R709" s="458"/>
      <c r="S709" s="458"/>
      <c r="T709" s="458"/>
      <c r="U709" s="458"/>
      <c r="V709" s="458"/>
      <c r="W709" s="458"/>
    </row>
    <row r="710" spans="1:23" ht="15.75" customHeight="1">
      <c r="A710" s="458"/>
      <c r="B710" s="458"/>
      <c r="C710" s="458"/>
      <c r="D710" s="458"/>
      <c r="E710" s="458"/>
      <c r="F710" s="458"/>
      <c r="G710" s="458"/>
      <c r="H710" s="458"/>
      <c r="I710" s="458"/>
      <c r="J710" s="458"/>
      <c r="K710" s="458"/>
      <c r="L710" s="458"/>
      <c r="M710" s="458"/>
      <c r="N710" s="458"/>
      <c r="O710" s="458"/>
      <c r="P710" s="458"/>
      <c r="Q710" s="458"/>
      <c r="R710" s="458"/>
      <c r="S710" s="458"/>
      <c r="T710" s="458"/>
      <c r="U710" s="458"/>
      <c r="V710" s="458"/>
      <c r="W710" s="458"/>
    </row>
    <row r="711" spans="1:23" ht="15.75" customHeight="1">
      <c r="A711" s="458"/>
      <c r="B711" s="458"/>
      <c r="C711" s="458"/>
      <c r="D711" s="458"/>
      <c r="E711" s="458"/>
      <c r="F711" s="458"/>
      <c r="G711" s="458"/>
      <c r="H711" s="458"/>
      <c r="I711" s="458"/>
      <c r="J711" s="458"/>
      <c r="K711" s="458"/>
      <c r="L711" s="458"/>
      <c r="M711" s="458"/>
      <c r="N711" s="458"/>
      <c r="O711" s="458"/>
      <c r="P711" s="458"/>
      <c r="Q711" s="458"/>
      <c r="R711" s="458"/>
      <c r="S711" s="458"/>
      <c r="T711" s="458"/>
      <c r="U711" s="458"/>
      <c r="V711" s="458"/>
      <c r="W711" s="458"/>
    </row>
    <row r="712" spans="1:23" ht="15.75" customHeight="1">
      <c r="A712" s="458"/>
      <c r="B712" s="458"/>
      <c r="C712" s="458"/>
      <c r="D712" s="458"/>
      <c r="E712" s="458"/>
      <c r="F712" s="458"/>
      <c r="G712" s="458"/>
      <c r="H712" s="458"/>
      <c r="I712" s="458"/>
      <c r="J712" s="458"/>
      <c r="K712" s="458"/>
      <c r="L712" s="458"/>
      <c r="M712" s="458"/>
      <c r="N712" s="458"/>
      <c r="O712" s="458"/>
      <c r="P712" s="458"/>
      <c r="Q712" s="458"/>
      <c r="R712" s="458"/>
      <c r="S712" s="458"/>
      <c r="T712" s="458"/>
      <c r="U712" s="458"/>
      <c r="V712" s="458"/>
      <c r="W712" s="458"/>
    </row>
    <row r="713" spans="1:23" ht="15.75" customHeight="1">
      <c r="A713" s="458"/>
      <c r="B713" s="458"/>
      <c r="C713" s="458"/>
      <c r="D713" s="458"/>
      <c r="E713" s="458"/>
      <c r="F713" s="458"/>
      <c r="G713" s="458"/>
      <c r="H713" s="458"/>
      <c r="I713" s="458"/>
      <c r="J713" s="458"/>
      <c r="K713" s="458"/>
      <c r="L713" s="458"/>
      <c r="M713" s="458"/>
      <c r="N713" s="458"/>
      <c r="O713" s="458"/>
      <c r="P713" s="458"/>
      <c r="Q713" s="458"/>
      <c r="R713" s="458"/>
      <c r="S713" s="458"/>
      <c r="T713" s="458"/>
      <c r="U713" s="458"/>
      <c r="V713" s="458"/>
      <c r="W713" s="458"/>
    </row>
    <row r="714" spans="1:23" ht="15.75" customHeight="1">
      <c r="A714" s="458"/>
      <c r="B714" s="458"/>
      <c r="C714" s="458"/>
      <c r="D714" s="458"/>
      <c r="E714" s="458"/>
      <c r="F714" s="458"/>
      <c r="G714" s="458"/>
      <c r="H714" s="458"/>
      <c r="I714" s="458"/>
      <c r="J714" s="458"/>
      <c r="K714" s="458"/>
      <c r="L714" s="458"/>
      <c r="M714" s="458"/>
      <c r="N714" s="458"/>
      <c r="O714" s="458"/>
      <c r="P714" s="458"/>
      <c r="Q714" s="458"/>
      <c r="R714" s="458"/>
      <c r="S714" s="458"/>
      <c r="T714" s="458"/>
      <c r="U714" s="458"/>
      <c r="V714" s="458"/>
      <c r="W714" s="458"/>
    </row>
    <row r="715" spans="1:23" ht="15.75" customHeight="1">
      <c r="A715" s="458"/>
      <c r="B715" s="458"/>
      <c r="C715" s="458"/>
      <c r="D715" s="458"/>
      <c r="E715" s="458"/>
      <c r="F715" s="458"/>
      <c r="G715" s="458"/>
      <c r="H715" s="458"/>
      <c r="I715" s="458"/>
      <c r="J715" s="458"/>
      <c r="K715" s="458"/>
      <c r="L715" s="458"/>
      <c r="M715" s="458"/>
      <c r="N715" s="458"/>
      <c r="O715" s="458"/>
      <c r="P715" s="458"/>
      <c r="Q715" s="458"/>
      <c r="R715" s="458"/>
      <c r="S715" s="458"/>
      <c r="T715" s="458"/>
      <c r="U715" s="458"/>
      <c r="V715" s="458"/>
      <c r="W715" s="458"/>
    </row>
    <row r="716" spans="1:23" ht="15.75" customHeight="1">
      <c r="A716" s="458"/>
      <c r="B716" s="458"/>
      <c r="C716" s="458"/>
      <c r="D716" s="458"/>
      <c r="E716" s="458"/>
      <c r="F716" s="458"/>
      <c r="G716" s="458"/>
      <c r="H716" s="458"/>
      <c r="I716" s="458"/>
      <c r="J716" s="458"/>
      <c r="K716" s="458"/>
      <c r="L716" s="458"/>
      <c r="M716" s="458"/>
      <c r="N716" s="458"/>
      <c r="O716" s="458"/>
      <c r="P716" s="458"/>
      <c r="Q716" s="458"/>
      <c r="R716" s="458"/>
      <c r="S716" s="458"/>
      <c r="T716" s="458"/>
      <c r="U716" s="458"/>
      <c r="V716" s="458"/>
      <c r="W716" s="458"/>
    </row>
    <row r="717" spans="1:23" ht="15.75" customHeight="1">
      <c r="A717" s="458"/>
      <c r="B717" s="458"/>
      <c r="C717" s="458"/>
      <c r="D717" s="458"/>
      <c r="E717" s="458"/>
      <c r="F717" s="458"/>
      <c r="G717" s="458"/>
      <c r="H717" s="458"/>
      <c r="I717" s="458"/>
      <c r="J717" s="458"/>
      <c r="K717" s="458"/>
      <c r="L717" s="458"/>
      <c r="M717" s="458"/>
      <c r="N717" s="458"/>
      <c r="O717" s="458"/>
      <c r="P717" s="458"/>
      <c r="Q717" s="458"/>
      <c r="R717" s="458"/>
      <c r="S717" s="458"/>
      <c r="T717" s="458"/>
      <c r="U717" s="458"/>
      <c r="V717" s="458"/>
      <c r="W717" s="458"/>
    </row>
    <row r="718" spans="1:23" ht="15.75" customHeight="1">
      <c r="A718" s="458"/>
      <c r="B718" s="458"/>
      <c r="C718" s="458"/>
      <c r="D718" s="458"/>
      <c r="E718" s="458"/>
      <c r="F718" s="458"/>
      <c r="G718" s="458"/>
      <c r="H718" s="458"/>
      <c r="I718" s="458"/>
      <c r="J718" s="458"/>
      <c r="K718" s="458"/>
      <c r="L718" s="458"/>
      <c r="M718" s="458"/>
      <c r="N718" s="458"/>
      <c r="O718" s="458"/>
      <c r="P718" s="458"/>
      <c r="Q718" s="458"/>
      <c r="R718" s="458"/>
      <c r="S718" s="458"/>
      <c r="T718" s="458"/>
      <c r="U718" s="458"/>
      <c r="V718" s="458"/>
      <c r="W718" s="458"/>
    </row>
    <row r="719" spans="1:23" ht="15.75" customHeight="1">
      <c r="A719" s="458"/>
      <c r="B719" s="458"/>
      <c r="C719" s="458"/>
      <c r="D719" s="458"/>
      <c r="E719" s="458"/>
      <c r="F719" s="458"/>
      <c r="G719" s="458"/>
      <c r="H719" s="458"/>
      <c r="I719" s="458"/>
      <c r="J719" s="458"/>
      <c r="K719" s="458"/>
      <c r="L719" s="458"/>
      <c r="M719" s="458"/>
      <c r="N719" s="458"/>
      <c r="O719" s="458"/>
      <c r="P719" s="458"/>
      <c r="Q719" s="458"/>
      <c r="R719" s="458"/>
      <c r="S719" s="458"/>
      <c r="T719" s="458"/>
      <c r="U719" s="458"/>
      <c r="V719" s="458"/>
      <c r="W719" s="458"/>
    </row>
    <row r="720" spans="1:23" ht="15.75" customHeight="1">
      <c r="A720" s="458"/>
      <c r="B720" s="458"/>
      <c r="C720" s="458"/>
      <c r="D720" s="458"/>
      <c r="E720" s="458"/>
      <c r="F720" s="458"/>
      <c r="G720" s="458"/>
      <c r="H720" s="458"/>
      <c r="I720" s="458"/>
      <c r="J720" s="458"/>
      <c r="K720" s="458"/>
      <c r="L720" s="458"/>
      <c r="M720" s="458"/>
      <c r="N720" s="458"/>
      <c r="O720" s="458"/>
      <c r="P720" s="458"/>
      <c r="Q720" s="458"/>
      <c r="R720" s="458"/>
      <c r="S720" s="458"/>
      <c r="T720" s="458"/>
      <c r="U720" s="458"/>
      <c r="V720" s="458"/>
      <c r="W720" s="458"/>
    </row>
    <row r="721" spans="1:23" ht="15.75" customHeight="1">
      <c r="A721" s="458"/>
      <c r="B721" s="458"/>
      <c r="C721" s="458"/>
      <c r="D721" s="458"/>
      <c r="E721" s="458"/>
      <c r="F721" s="458"/>
      <c r="G721" s="458"/>
      <c r="H721" s="458"/>
      <c r="I721" s="458"/>
      <c r="J721" s="458"/>
      <c r="K721" s="458"/>
      <c r="L721" s="458"/>
      <c r="M721" s="458"/>
      <c r="N721" s="458"/>
      <c r="O721" s="458"/>
      <c r="P721" s="458"/>
      <c r="Q721" s="458"/>
      <c r="R721" s="458"/>
      <c r="S721" s="458"/>
      <c r="T721" s="458"/>
      <c r="U721" s="458"/>
      <c r="V721" s="458"/>
      <c r="W721" s="458"/>
    </row>
    <row r="722" spans="1:23" ht="15.75" customHeight="1">
      <c r="A722" s="458"/>
      <c r="B722" s="458"/>
      <c r="C722" s="458"/>
      <c r="D722" s="458"/>
      <c r="E722" s="458"/>
      <c r="F722" s="458"/>
      <c r="G722" s="458"/>
      <c r="H722" s="458"/>
      <c r="I722" s="458"/>
      <c r="J722" s="458"/>
      <c r="K722" s="458"/>
      <c r="L722" s="458"/>
      <c r="M722" s="458"/>
      <c r="N722" s="458"/>
      <c r="O722" s="458"/>
      <c r="P722" s="458"/>
      <c r="Q722" s="458"/>
      <c r="R722" s="458"/>
      <c r="S722" s="458"/>
      <c r="T722" s="458"/>
      <c r="U722" s="458"/>
      <c r="V722" s="458"/>
      <c r="W722" s="458"/>
    </row>
    <row r="723" spans="1:23" ht="15.75" customHeight="1">
      <c r="A723" s="458"/>
      <c r="B723" s="458"/>
      <c r="C723" s="458"/>
      <c r="D723" s="458"/>
      <c r="E723" s="458"/>
      <c r="F723" s="458"/>
      <c r="G723" s="458"/>
      <c r="H723" s="458"/>
      <c r="I723" s="458"/>
      <c r="J723" s="458"/>
      <c r="K723" s="458"/>
      <c r="L723" s="458"/>
      <c r="M723" s="458"/>
      <c r="N723" s="458"/>
      <c r="O723" s="458"/>
      <c r="P723" s="458"/>
      <c r="Q723" s="458"/>
      <c r="R723" s="458"/>
      <c r="S723" s="458"/>
      <c r="T723" s="458"/>
      <c r="U723" s="458"/>
      <c r="V723" s="458"/>
      <c r="W723" s="458"/>
    </row>
    <row r="724" spans="1:23" ht="15.75" customHeight="1">
      <c r="A724" s="458"/>
      <c r="B724" s="458"/>
      <c r="C724" s="458"/>
      <c r="D724" s="458"/>
      <c r="E724" s="458"/>
      <c r="F724" s="458"/>
      <c r="G724" s="458"/>
      <c r="H724" s="458"/>
      <c r="I724" s="458"/>
      <c r="J724" s="458"/>
      <c r="K724" s="458"/>
      <c r="L724" s="458"/>
      <c r="M724" s="458"/>
      <c r="N724" s="458"/>
      <c r="O724" s="458"/>
      <c r="P724" s="458"/>
      <c r="Q724" s="458"/>
      <c r="R724" s="458"/>
      <c r="S724" s="458"/>
      <c r="T724" s="458"/>
      <c r="U724" s="458"/>
      <c r="V724" s="458"/>
      <c r="W724" s="458"/>
    </row>
    <row r="725" spans="1:23" ht="15.75" customHeight="1">
      <c r="A725" s="458"/>
      <c r="B725" s="458"/>
      <c r="C725" s="458"/>
      <c r="D725" s="458"/>
      <c r="E725" s="458"/>
      <c r="F725" s="458"/>
      <c r="G725" s="458"/>
      <c r="H725" s="458"/>
      <c r="I725" s="458"/>
      <c r="J725" s="458"/>
      <c r="K725" s="458"/>
      <c r="L725" s="458"/>
      <c r="M725" s="458"/>
      <c r="N725" s="458"/>
      <c r="O725" s="458"/>
      <c r="P725" s="458"/>
      <c r="Q725" s="458"/>
      <c r="R725" s="458"/>
      <c r="S725" s="458"/>
      <c r="T725" s="458"/>
      <c r="U725" s="458"/>
      <c r="V725" s="458"/>
      <c r="W725" s="458"/>
    </row>
    <row r="726" spans="1:23" ht="15.75" customHeight="1">
      <c r="A726" s="458"/>
      <c r="B726" s="458"/>
      <c r="C726" s="458"/>
      <c r="D726" s="458"/>
      <c r="E726" s="458"/>
      <c r="F726" s="458"/>
      <c r="G726" s="458"/>
      <c r="H726" s="458"/>
      <c r="I726" s="458"/>
      <c r="J726" s="458"/>
      <c r="K726" s="458"/>
      <c r="L726" s="458"/>
      <c r="M726" s="458"/>
      <c r="N726" s="458"/>
      <c r="O726" s="458"/>
      <c r="P726" s="458"/>
      <c r="Q726" s="458"/>
      <c r="R726" s="458"/>
      <c r="S726" s="458"/>
      <c r="T726" s="458"/>
      <c r="U726" s="458"/>
      <c r="V726" s="458"/>
      <c r="W726" s="458"/>
    </row>
    <row r="727" spans="1:23" ht="15.75" customHeight="1">
      <c r="A727" s="458"/>
      <c r="B727" s="458"/>
      <c r="C727" s="458"/>
      <c r="D727" s="458"/>
      <c r="E727" s="458"/>
      <c r="F727" s="458"/>
      <c r="G727" s="458"/>
      <c r="H727" s="458"/>
      <c r="I727" s="458"/>
      <c r="J727" s="458"/>
      <c r="K727" s="458"/>
      <c r="L727" s="458"/>
      <c r="M727" s="458"/>
      <c r="N727" s="458"/>
      <c r="O727" s="458"/>
      <c r="P727" s="458"/>
      <c r="Q727" s="458"/>
      <c r="R727" s="458"/>
      <c r="S727" s="458"/>
      <c r="T727" s="458"/>
      <c r="U727" s="458"/>
      <c r="V727" s="458"/>
      <c r="W727" s="458"/>
    </row>
    <row r="728" spans="1:23" ht="15.75" customHeight="1">
      <c r="A728" s="458"/>
      <c r="B728" s="458"/>
      <c r="C728" s="458"/>
      <c r="D728" s="458"/>
      <c r="E728" s="458"/>
      <c r="F728" s="458"/>
      <c r="G728" s="458"/>
      <c r="H728" s="458"/>
      <c r="I728" s="458"/>
      <c r="J728" s="458"/>
      <c r="K728" s="458"/>
      <c r="L728" s="458"/>
      <c r="M728" s="458"/>
      <c r="N728" s="458"/>
      <c r="O728" s="458"/>
      <c r="P728" s="458"/>
      <c r="Q728" s="458"/>
      <c r="R728" s="458"/>
      <c r="S728" s="458"/>
      <c r="T728" s="458"/>
      <c r="U728" s="458"/>
      <c r="V728" s="458"/>
      <c r="W728" s="458"/>
    </row>
    <row r="729" spans="1:23" ht="15.75" customHeight="1">
      <c r="A729" s="458"/>
      <c r="B729" s="458"/>
      <c r="C729" s="458"/>
      <c r="D729" s="458"/>
      <c r="E729" s="458"/>
      <c r="F729" s="458"/>
      <c r="G729" s="458"/>
      <c r="H729" s="458"/>
      <c r="I729" s="458"/>
      <c r="J729" s="458"/>
      <c r="K729" s="458"/>
      <c r="L729" s="458"/>
      <c r="M729" s="458"/>
      <c r="N729" s="458"/>
      <c r="O729" s="458"/>
      <c r="P729" s="458"/>
      <c r="Q729" s="458"/>
      <c r="R729" s="458"/>
      <c r="S729" s="458"/>
      <c r="T729" s="458"/>
      <c r="U729" s="458"/>
      <c r="V729" s="458"/>
      <c r="W729" s="458"/>
    </row>
    <row r="730" spans="1:23" ht="15.75" customHeight="1">
      <c r="A730" s="458"/>
      <c r="B730" s="458"/>
      <c r="C730" s="458"/>
      <c r="D730" s="458"/>
      <c r="E730" s="458"/>
      <c r="F730" s="458"/>
      <c r="G730" s="458"/>
      <c r="H730" s="458"/>
      <c r="I730" s="458"/>
      <c r="J730" s="458"/>
      <c r="K730" s="458"/>
      <c r="L730" s="458"/>
      <c r="M730" s="458"/>
      <c r="N730" s="458"/>
      <c r="O730" s="458"/>
      <c r="P730" s="458"/>
      <c r="Q730" s="458"/>
      <c r="R730" s="458"/>
      <c r="S730" s="458"/>
      <c r="T730" s="458"/>
      <c r="U730" s="458"/>
      <c r="V730" s="458"/>
      <c r="W730" s="458"/>
    </row>
    <row r="731" spans="1:23" ht="15.75" customHeight="1">
      <c r="A731" s="458"/>
      <c r="B731" s="458"/>
      <c r="C731" s="458"/>
      <c r="D731" s="458"/>
      <c r="E731" s="458"/>
      <c r="F731" s="458"/>
      <c r="G731" s="458"/>
      <c r="H731" s="458"/>
      <c r="I731" s="458"/>
      <c r="J731" s="458"/>
      <c r="K731" s="458"/>
      <c r="L731" s="458"/>
      <c r="M731" s="458"/>
      <c r="N731" s="458"/>
      <c r="O731" s="458"/>
      <c r="P731" s="458"/>
      <c r="Q731" s="458"/>
      <c r="R731" s="458"/>
      <c r="S731" s="458"/>
      <c r="T731" s="458"/>
      <c r="U731" s="458"/>
      <c r="V731" s="458"/>
      <c r="W731" s="458"/>
    </row>
    <row r="732" spans="1:23" ht="15.75" customHeight="1">
      <c r="A732" s="458"/>
      <c r="B732" s="458"/>
      <c r="C732" s="458"/>
      <c r="D732" s="458"/>
      <c r="E732" s="458"/>
      <c r="F732" s="458"/>
      <c r="G732" s="458"/>
      <c r="H732" s="458"/>
      <c r="I732" s="458"/>
      <c r="J732" s="458"/>
      <c r="K732" s="458"/>
      <c r="L732" s="458"/>
      <c r="M732" s="458"/>
      <c r="N732" s="458"/>
      <c r="O732" s="458"/>
      <c r="P732" s="458"/>
      <c r="Q732" s="458"/>
      <c r="R732" s="458"/>
      <c r="S732" s="458"/>
      <c r="T732" s="458"/>
      <c r="U732" s="458"/>
      <c r="V732" s="458"/>
      <c r="W732" s="458"/>
    </row>
    <row r="733" spans="1:23" ht="15.75" customHeight="1">
      <c r="A733" s="458"/>
      <c r="B733" s="458"/>
      <c r="C733" s="458"/>
      <c r="D733" s="458"/>
      <c r="E733" s="458"/>
      <c r="F733" s="458"/>
      <c r="G733" s="458"/>
      <c r="H733" s="458"/>
      <c r="I733" s="458"/>
      <c r="J733" s="458"/>
      <c r="K733" s="458"/>
      <c r="L733" s="458"/>
      <c r="M733" s="458"/>
      <c r="N733" s="458"/>
      <c r="O733" s="458"/>
      <c r="P733" s="458"/>
      <c r="Q733" s="458"/>
      <c r="R733" s="458"/>
      <c r="S733" s="458"/>
      <c r="T733" s="458"/>
      <c r="U733" s="458"/>
      <c r="V733" s="458"/>
      <c r="W733" s="458"/>
    </row>
    <row r="734" spans="1:23" ht="15.75" customHeight="1">
      <c r="A734" s="458"/>
      <c r="B734" s="458"/>
      <c r="C734" s="458"/>
      <c r="D734" s="458"/>
      <c r="E734" s="458"/>
      <c r="F734" s="458"/>
      <c r="G734" s="458"/>
      <c r="H734" s="458"/>
      <c r="I734" s="458"/>
      <c r="J734" s="458"/>
      <c r="K734" s="458"/>
      <c r="L734" s="458"/>
      <c r="M734" s="458"/>
      <c r="N734" s="458"/>
      <c r="O734" s="458"/>
      <c r="P734" s="458"/>
      <c r="Q734" s="458"/>
      <c r="R734" s="458"/>
      <c r="S734" s="458"/>
      <c r="T734" s="458"/>
      <c r="U734" s="458"/>
      <c r="V734" s="458"/>
      <c r="W734" s="458"/>
    </row>
    <row r="735" spans="1:23" ht="15.75" customHeight="1">
      <c r="A735" s="458"/>
      <c r="B735" s="458"/>
      <c r="C735" s="458"/>
      <c r="D735" s="458"/>
      <c r="E735" s="458"/>
      <c r="F735" s="458"/>
      <c r="G735" s="458"/>
      <c r="H735" s="458"/>
      <c r="I735" s="458"/>
      <c r="J735" s="458"/>
      <c r="K735" s="458"/>
      <c r="L735" s="458"/>
      <c r="M735" s="458"/>
      <c r="N735" s="458"/>
      <c r="O735" s="458"/>
      <c r="P735" s="458"/>
      <c r="Q735" s="458"/>
      <c r="R735" s="458"/>
      <c r="S735" s="458"/>
      <c r="T735" s="458"/>
      <c r="U735" s="458"/>
      <c r="V735" s="458"/>
      <c r="W735" s="458"/>
    </row>
    <row r="736" spans="1:23" ht="15.75" customHeight="1">
      <c r="A736" s="458"/>
      <c r="B736" s="458"/>
      <c r="C736" s="458"/>
      <c r="D736" s="458"/>
      <c r="E736" s="458"/>
      <c r="F736" s="458"/>
      <c r="G736" s="458"/>
      <c r="H736" s="458"/>
      <c r="I736" s="458"/>
      <c r="J736" s="458"/>
      <c r="K736" s="458"/>
      <c r="L736" s="458"/>
      <c r="M736" s="458"/>
      <c r="N736" s="458"/>
      <c r="O736" s="458"/>
      <c r="P736" s="458"/>
      <c r="Q736" s="458"/>
      <c r="R736" s="458"/>
      <c r="S736" s="458"/>
      <c r="T736" s="458"/>
      <c r="U736" s="458"/>
      <c r="V736" s="458"/>
      <c r="W736" s="458"/>
    </row>
    <row r="737" spans="1:23" ht="15.75" customHeight="1">
      <c r="A737" s="458"/>
      <c r="B737" s="458"/>
      <c r="C737" s="458"/>
      <c r="D737" s="458"/>
      <c r="E737" s="458"/>
      <c r="F737" s="458"/>
      <c r="G737" s="458"/>
      <c r="H737" s="458"/>
      <c r="I737" s="458"/>
      <c r="J737" s="458"/>
      <c r="K737" s="458"/>
      <c r="L737" s="458"/>
      <c r="M737" s="458"/>
      <c r="N737" s="458"/>
      <c r="O737" s="458"/>
      <c r="P737" s="458"/>
      <c r="Q737" s="458"/>
      <c r="R737" s="458"/>
      <c r="S737" s="458"/>
      <c r="T737" s="458"/>
      <c r="U737" s="458"/>
      <c r="V737" s="458"/>
      <c r="W737" s="458"/>
    </row>
    <row r="738" spans="1:23" ht="15.75" customHeight="1">
      <c r="A738" s="458"/>
      <c r="B738" s="458"/>
      <c r="C738" s="458"/>
      <c r="D738" s="458"/>
      <c r="E738" s="458"/>
      <c r="F738" s="458"/>
      <c r="G738" s="458"/>
      <c r="H738" s="458"/>
      <c r="I738" s="458"/>
      <c r="J738" s="458"/>
      <c r="K738" s="458"/>
      <c r="L738" s="458"/>
      <c r="M738" s="458"/>
      <c r="N738" s="458"/>
      <c r="O738" s="458"/>
      <c r="P738" s="458"/>
      <c r="Q738" s="458"/>
      <c r="R738" s="458"/>
      <c r="S738" s="458"/>
      <c r="T738" s="458"/>
      <c r="U738" s="458"/>
      <c r="V738" s="458"/>
      <c r="W738" s="458"/>
    </row>
    <row r="739" spans="1:23" ht="15.75" customHeight="1">
      <c r="A739" s="458"/>
      <c r="B739" s="458"/>
      <c r="C739" s="458"/>
      <c r="D739" s="458"/>
      <c r="E739" s="458"/>
      <c r="F739" s="458"/>
      <c r="G739" s="458"/>
      <c r="H739" s="458"/>
      <c r="I739" s="458"/>
      <c r="J739" s="458"/>
      <c r="K739" s="458"/>
      <c r="L739" s="458"/>
      <c r="M739" s="458"/>
      <c r="N739" s="458"/>
      <c r="O739" s="458"/>
      <c r="P739" s="458"/>
      <c r="Q739" s="458"/>
      <c r="R739" s="458"/>
      <c r="S739" s="458"/>
      <c r="T739" s="458"/>
      <c r="U739" s="458"/>
      <c r="V739" s="458"/>
      <c r="W739" s="458"/>
    </row>
    <row r="740" spans="1:23" ht="15.75" customHeight="1">
      <c r="A740" s="458"/>
      <c r="B740" s="458"/>
      <c r="C740" s="458"/>
      <c r="D740" s="458"/>
      <c r="E740" s="458"/>
      <c r="F740" s="458"/>
      <c r="G740" s="458"/>
      <c r="H740" s="458"/>
      <c r="I740" s="458"/>
      <c r="J740" s="458"/>
      <c r="K740" s="458"/>
      <c r="L740" s="458"/>
      <c r="M740" s="458"/>
      <c r="N740" s="458"/>
      <c r="O740" s="458"/>
      <c r="P740" s="458"/>
      <c r="Q740" s="458"/>
      <c r="R740" s="458"/>
      <c r="S740" s="458"/>
      <c r="T740" s="458"/>
      <c r="U740" s="458"/>
      <c r="V740" s="458"/>
      <c r="W740" s="458"/>
    </row>
    <row r="741" spans="1:23" ht="15.75" customHeight="1">
      <c r="A741" s="458"/>
      <c r="B741" s="458"/>
      <c r="C741" s="458"/>
      <c r="D741" s="458"/>
      <c r="E741" s="458"/>
      <c r="F741" s="458"/>
      <c r="G741" s="458"/>
      <c r="H741" s="458"/>
      <c r="I741" s="458"/>
      <c r="J741" s="458"/>
      <c r="K741" s="458"/>
      <c r="L741" s="458"/>
      <c r="M741" s="458"/>
      <c r="N741" s="458"/>
      <c r="O741" s="458"/>
      <c r="P741" s="458"/>
      <c r="Q741" s="458"/>
      <c r="R741" s="458"/>
      <c r="S741" s="458"/>
      <c r="T741" s="458"/>
      <c r="U741" s="458"/>
      <c r="V741" s="458"/>
      <c r="W741" s="458"/>
    </row>
    <row r="742" spans="1:23" ht="15.75" customHeight="1">
      <c r="A742" s="458"/>
      <c r="B742" s="458"/>
      <c r="C742" s="458"/>
      <c r="D742" s="458"/>
      <c r="E742" s="458"/>
      <c r="F742" s="458"/>
      <c r="G742" s="458"/>
      <c r="H742" s="458"/>
      <c r="I742" s="458"/>
      <c r="J742" s="458"/>
      <c r="K742" s="458"/>
      <c r="L742" s="458"/>
      <c r="M742" s="458"/>
      <c r="N742" s="458"/>
      <c r="O742" s="458"/>
      <c r="P742" s="458"/>
      <c r="Q742" s="458"/>
      <c r="R742" s="458"/>
      <c r="S742" s="458"/>
      <c r="T742" s="458"/>
      <c r="U742" s="458"/>
      <c r="V742" s="458"/>
      <c r="W742" s="458"/>
    </row>
    <row r="743" spans="1:23" ht="15.75" customHeight="1">
      <c r="A743" s="458"/>
      <c r="B743" s="458"/>
      <c r="C743" s="458"/>
      <c r="D743" s="458"/>
      <c r="E743" s="458"/>
      <c r="F743" s="458"/>
      <c r="G743" s="458"/>
      <c r="H743" s="458"/>
      <c r="I743" s="458"/>
      <c r="J743" s="458"/>
      <c r="K743" s="458"/>
      <c r="L743" s="458"/>
      <c r="M743" s="458"/>
      <c r="N743" s="458"/>
      <c r="O743" s="458"/>
      <c r="P743" s="458"/>
      <c r="Q743" s="458"/>
      <c r="R743" s="458"/>
      <c r="S743" s="458"/>
      <c r="T743" s="458"/>
      <c r="U743" s="458"/>
      <c r="V743" s="458"/>
      <c r="W743" s="458"/>
    </row>
    <row r="744" spans="1:23" ht="15.75" customHeight="1">
      <c r="A744" s="458"/>
      <c r="B744" s="458"/>
      <c r="C744" s="458"/>
      <c r="D744" s="458"/>
      <c r="E744" s="458"/>
      <c r="F744" s="458"/>
      <c r="G744" s="458"/>
      <c r="H744" s="458"/>
      <c r="I744" s="458"/>
      <c r="J744" s="458"/>
      <c r="K744" s="458"/>
      <c r="L744" s="458"/>
      <c r="M744" s="458"/>
      <c r="N744" s="458"/>
      <c r="O744" s="458"/>
      <c r="P744" s="458"/>
      <c r="Q744" s="458"/>
      <c r="R744" s="458"/>
      <c r="S744" s="458"/>
      <c r="T744" s="458"/>
      <c r="U744" s="458"/>
      <c r="V744" s="458"/>
      <c r="W744" s="458"/>
    </row>
    <row r="745" spans="1:23" ht="15.75" customHeight="1">
      <c r="A745" s="458"/>
      <c r="B745" s="458"/>
      <c r="C745" s="458"/>
      <c r="D745" s="458"/>
      <c r="E745" s="458"/>
      <c r="F745" s="458"/>
      <c r="G745" s="458"/>
      <c r="H745" s="458"/>
      <c r="I745" s="458"/>
      <c r="J745" s="458"/>
      <c r="K745" s="458"/>
      <c r="L745" s="458"/>
      <c r="M745" s="458"/>
      <c r="N745" s="458"/>
      <c r="O745" s="458"/>
      <c r="P745" s="458"/>
      <c r="Q745" s="458"/>
      <c r="R745" s="458"/>
      <c r="S745" s="458"/>
      <c r="T745" s="458"/>
      <c r="U745" s="458"/>
      <c r="V745" s="458"/>
      <c r="W745" s="458"/>
    </row>
    <row r="746" spans="1:23" ht="15.75" customHeight="1">
      <c r="A746" s="458"/>
      <c r="B746" s="458"/>
      <c r="C746" s="458"/>
      <c r="D746" s="458"/>
      <c r="E746" s="458"/>
      <c r="F746" s="458"/>
      <c r="G746" s="458"/>
      <c r="H746" s="458"/>
      <c r="I746" s="458"/>
      <c r="J746" s="458"/>
      <c r="K746" s="458"/>
      <c r="L746" s="458"/>
      <c r="M746" s="458"/>
      <c r="N746" s="458"/>
      <c r="O746" s="458"/>
      <c r="P746" s="458"/>
      <c r="Q746" s="458"/>
      <c r="R746" s="458"/>
      <c r="S746" s="458"/>
      <c r="T746" s="458"/>
      <c r="U746" s="458"/>
      <c r="V746" s="458"/>
      <c r="W746" s="458"/>
    </row>
    <row r="747" spans="1:23" ht="15.75" customHeight="1">
      <c r="A747" s="458"/>
      <c r="B747" s="458"/>
      <c r="C747" s="458"/>
      <c r="D747" s="458"/>
      <c r="E747" s="458"/>
      <c r="F747" s="458"/>
      <c r="G747" s="458"/>
      <c r="H747" s="458"/>
      <c r="I747" s="458"/>
      <c r="J747" s="458"/>
      <c r="K747" s="458"/>
      <c r="L747" s="458"/>
      <c r="M747" s="458"/>
      <c r="N747" s="458"/>
      <c r="O747" s="458"/>
      <c r="P747" s="458"/>
      <c r="Q747" s="458"/>
      <c r="R747" s="458"/>
      <c r="S747" s="458"/>
      <c r="T747" s="458"/>
      <c r="U747" s="458"/>
      <c r="V747" s="458"/>
      <c r="W747" s="458"/>
    </row>
    <row r="748" spans="1:23" ht="15.75" customHeight="1">
      <c r="A748" s="458"/>
      <c r="B748" s="458"/>
      <c r="C748" s="458"/>
      <c r="D748" s="458"/>
      <c r="E748" s="458"/>
      <c r="F748" s="458"/>
      <c r="G748" s="458"/>
      <c r="H748" s="458"/>
      <c r="I748" s="458"/>
      <c r="J748" s="458"/>
      <c r="K748" s="458"/>
      <c r="L748" s="458"/>
      <c r="M748" s="458"/>
      <c r="N748" s="458"/>
      <c r="O748" s="458"/>
      <c r="P748" s="458"/>
      <c r="Q748" s="458"/>
      <c r="R748" s="458"/>
      <c r="S748" s="458"/>
      <c r="T748" s="458"/>
      <c r="U748" s="458"/>
      <c r="V748" s="458"/>
      <c r="W748" s="458"/>
    </row>
    <row r="749" spans="1:23" ht="15.75" customHeight="1">
      <c r="A749" s="458"/>
      <c r="B749" s="458"/>
      <c r="C749" s="458"/>
      <c r="D749" s="458"/>
      <c r="E749" s="458"/>
      <c r="F749" s="458"/>
      <c r="G749" s="458"/>
      <c r="H749" s="458"/>
      <c r="I749" s="458"/>
      <c r="J749" s="458"/>
      <c r="K749" s="458"/>
      <c r="L749" s="458"/>
      <c r="M749" s="458"/>
      <c r="N749" s="458"/>
      <c r="O749" s="458"/>
      <c r="P749" s="458"/>
      <c r="Q749" s="458"/>
      <c r="R749" s="458"/>
      <c r="S749" s="458"/>
      <c r="T749" s="458"/>
      <c r="U749" s="458"/>
      <c r="V749" s="458"/>
      <c r="W749" s="458"/>
    </row>
    <row r="750" spans="1:23" ht="15.75" customHeight="1">
      <c r="A750" s="458"/>
      <c r="B750" s="458"/>
      <c r="C750" s="458"/>
      <c r="D750" s="458"/>
      <c r="E750" s="458"/>
      <c r="F750" s="458"/>
      <c r="G750" s="458"/>
      <c r="H750" s="458"/>
      <c r="I750" s="458"/>
      <c r="J750" s="458"/>
      <c r="K750" s="458"/>
      <c r="L750" s="458"/>
      <c r="M750" s="458"/>
      <c r="N750" s="458"/>
      <c r="O750" s="458"/>
      <c r="P750" s="458"/>
      <c r="Q750" s="458"/>
      <c r="R750" s="458"/>
      <c r="S750" s="458"/>
      <c r="T750" s="458"/>
      <c r="U750" s="458"/>
      <c r="V750" s="458"/>
      <c r="W750" s="458"/>
    </row>
    <row r="751" spans="1:23" ht="15.75" customHeight="1">
      <c r="A751" s="458"/>
      <c r="B751" s="458"/>
      <c r="C751" s="458"/>
      <c r="D751" s="458"/>
      <c r="E751" s="458"/>
      <c r="F751" s="458"/>
      <c r="G751" s="458"/>
      <c r="H751" s="458"/>
      <c r="I751" s="458"/>
      <c r="J751" s="458"/>
      <c r="K751" s="458"/>
      <c r="L751" s="458"/>
      <c r="M751" s="458"/>
      <c r="N751" s="458"/>
      <c r="O751" s="458"/>
      <c r="P751" s="458"/>
      <c r="Q751" s="458"/>
      <c r="R751" s="458"/>
      <c r="S751" s="458"/>
      <c r="T751" s="458"/>
      <c r="U751" s="458"/>
      <c r="V751" s="458"/>
      <c r="W751" s="458"/>
    </row>
    <row r="752" spans="1:23" ht="15.75" customHeight="1">
      <c r="A752" s="458"/>
      <c r="B752" s="458"/>
      <c r="C752" s="458"/>
      <c r="D752" s="458"/>
      <c r="E752" s="458"/>
      <c r="F752" s="458"/>
      <c r="G752" s="458"/>
      <c r="H752" s="458"/>
      <c r="I752" s="458"/>
      <c r="J752" s="458"/>
      <c r="K752" s="458"/>
      <c r="L752" s="458"/>
      <c r="M752" s="458"/>
      <c r="N752" s="458"/>
      <c r="O752" s="458"/>
      <c r="P752" s="458"/>
      <c r="Q752" s="458"/>
      <c r="R752" s="458"/>
      <c r="S752" s="458"/>
      <c r="T752" s="458"/>
      <c r="U752" s="458"/>
      <c r="V752" s="458"/>
      <c r="W752" s="458"/>
    </row>
    <row r="753" spans="1:23" ht="15.75" customHeight="1">
      <c r="A753" s="458"/>
      <c r="B753" s="458"/>
      <c r="C753" s="458"/>
      <c r="D753" s="458"/>
      <c r="E753" s="458"/>
      <c r="F753" s="458"/>
      <c r="G753" s="458"/>
      <c r="H753" s="458"/>
      <c r="I753" s="458"/>
      <c r="J753" s="458"/>
      <c r="K753" s="458"/>
      <c r="L753" s="458"/>
      <c r="M753" s="458"/>
      <c r="N753" s="458"/>
      <c r="O753" s="458"/>
      <c r="P753" s="458"/>
      <c r="Q753" s="458"/>
      <c r="R753" s="458"/>
      <c r="S753" s="458"/>
      <c r="T753" s="458"/>
      <c r="U753" s="458"/>
      <c r="V753" s="458"/>
      <c r="W753" s="458"/>
    </row>
    <row r="754" spans="1:23" ht="15.75" customHeight="1">
      <c r="A754" s="458"/>
      <c r="B754" s="458"/>
      <c r="C754" s="458"/>
      <c r="D754" s="458"/>
      <c r="E754" s="458"/>
      <c r="F754" s="458"/>
      <c r="G754" s="458"/>
      <c r="H754" s="458"/>
      <c r="I754" s="458"/>
      <c r="J754" s="458"/>
      <c r="K754" s="458"/>
      <c r="L754" s="458"/>
      <c r="M754" s="458"/>
      <c r="N754" s="458"/>
      <c r="O754" s="458"/>
      <c r="P754" s="458"/>
      <c r="Q754" s="458"/>
      <c r="R754" s="458"/>
      <c r="S754" s="458"/>
      <c r="T754" s="458"/>
      <c r="U754" s="458"/>
      <c r="V754" s="458"/>
      <c r="W754" s="458"/>
    </row>
    <row r="755" spans="1:23" ht="15.75" customHeight="1">
      <c r="A755" s="458"/>
      <c r="B755" s="458"/>
      <c r="C755" s="458"/>
      <c r="D755" s="458"/>
      <c r="E755" s="458"/>
      <c r="F755" s="458"/>
      <c r="G755" s="458"/>
      <c r="H755" s="458"/>
      <c r="I755" s="458"/>
      <c r="J755" s="458"/>
      <c r="K755" s="458"/>
      <c r="L755" s="458"/>
      <c r="M755" s="458"/>
      <c r="N755" s="458"/>
      <c r="O755" s="458"/>
      <c r="P755" s="458"/>
      <c r="Q755" s="458"/>
      <c r="R755" s="458"/>
      <c r="S755" s="458"/>
      <c r="T755" s="458"/>
      <c r="U755" s="458"/>
      <c r="V755" s="458"/>
      <c r="W755" s="458"/>
    </row>
    <row r="756" spans="1:23" ht="15.75" customHeight="1">
      <c r="A756" s="458"/>
      <c r="B756" s="458"/>
      <c r="C756" s="458"/>
      <c r="D756" s="458"/>
      <c r="E756" s="458"/>
      <c r="F756" s="458"/>
      <c r="G756" s="458"/>
      <c r="H756" s="458"/>
      <c r="I756" s="458"/>
      <c r="J756" s="458"/>
      <c r="K756" s="458"/>
      <c r="L756" s="458"/>
      <c r="M756" s="458"/>
      <c r="N756" s="458"/>
      <c r="O756" s="458"/>
      <c r="P756" s="458"/>
      <c r="Q756" s="458"/>
      <c r="R756" s="458"/>
      <c r="S756" s="458"/>
      <c r="T756" s="458"/>
      <c r="U756" s="458"/>
      <c r="V756" s="458"/>
      <c r="W756" s="458"/>
    </row>
    <row r="757" spans="1:23" ht="15.75" customHeight="1">
      <c r="A757" s="458"/>
      <c r="B757" s="458"/>
      <c r="C757" s="458"/>
      <c r="D757" s="458"/>
      <c r="E757" s="458"/>
      <c r="F757" s="458"/>
      <c r="G757" s="458"/>
      <c r="H757" s="458"/>
      <c r="I757" s="458"/>
      <c r="J757" s="458"/>
      <c r="K757" s="458"/>
      <c r="L757" s="458"/>
      <c r="M757" s="458"/>
      <c r="N757" s="458"/>
      <c r="O757" s="458"/>
      <c r="P757" s="458"/>
      <c r="Q757" s="458"/>
      <c r="R757" s="458"/>
      <c r="S757" s="458"/>
      <c r="T757" s="458"/>
      <c r="U757" s="458"/>
      <c r="V757" s="458"/>
      <c r="W757" s="458"/>
    </row>
    <row r="758" spans="1:23" ht="15.75" customHeight="1">
      <c r="A758" s="458"/>
      <c r="B758" s="458"/>
      <c r="C758" s="458"/>
      <c r="D758" s="458"/>
      <c r="E758" s="458"/>
      <c r="F758" s="458"/>
      <c r="G758" s="458"/>
      <c r="H758" s="458"/>
      <c r="I758" s="458"/>
      <c r="J758" s="458"/>
      <c r="K758" s="458"/>
      <c r="L758" s="458"/>
      <c r="M758" s="458"/>
      <c r="N758" s="458"/>
      <c r="O758" s="458"/>
      <c r="P758" s="458"/>
      <c r="Q758" s="458"/>
      <c r="R758" s="458"/>
      <c r="S758" s="458"/>
      <c r="T758" s="458"/>
      <c r="U758" s="458"/>
      <c r="V758" s="458"/>
      <c r="W758" s="458"/>
    </row>
    <row r="759" spans="1:23" ht="15.75" customHeight="1">
      <c r="A759" s="458"/>
      <c r="B759" s="458"/>
      <c r="C759" s="458"/>
      <c r="D759" s="458"/>
      <c r="E759" s="458"/>
      <c r="F759" s="458"/>
      <c r="G759" s="458"/>
      <c r="H759" s="458"/>
      <c r="I759" s="458"/>
      <c r="J759" s="458"/>
      <c r="K759" s="458"/>
      <c r="L759" s="458"/>
      <c r="M759" s="458"/>
      <c r="N759" s="458"/>
      <c r="O759" s="458"/>
      <c r="P759" s="458"/>
      <c r="Q759" s="458"/>
      <c r="R759" s="458"/>
      <c r="S759" s="458"/>
      <c r="T759" s="458"/>
      <c r="U759" s="458"/>
      <c r="V759" s="458"/>
      <c r="W759" s="458"/>
    </row>
    <row r="760" spans="1:23" ht="15.75" customHeight="1">
      <c r="A760" s="458"/>
      <c r="B760" s="458"/>
      <c r="C760" s="458"/>
      <c r="D760" s="458"/>
      <c r="E760" s="458"/>
      <c r="F760" s="458"/>
      <c r="G760" s="458"/>
      <c r="H760" s="458"/>
      <c r="I760" s="458"/>
      <c r="J760" s="458"/>
      <c r="K760" s="458"/>
      <c r="L760" s="458"/>
      <c r="M760" s="458"/>
      <c r="N760" s="458"/>
      <c r="O760" s="458"/>
      <c r="P760" s="458"/>
      <c r="Q760" s="458"/>
      <c r="R760" s="458"/>
      <c r="S760" s="458"/>
      <c r="T760" s="458"/>
      <c r="U760" s="458"/>
      <c r="V760" s="458"/>
      <c r="W760" s="458"/>
    </row>
    <row r="761" spans="1:23" ht="15.75" customHeight="1">
      <c r="A761" s="458"/>
      <c r="B761" s="458"/>
      <c r="C761" s="458"/>
      <c r="D761" s="458"/>
      <c r="E761" s="458"/>
      <c r="F761" s="458"/>
      <c r="G761" s="458"/>
      <c r="H761" s="458"/>
      <c r="I761" s="458"/>
      <c r="J761" s="458"/>
      <c r="K761" s="458"/>
      <c r="L761" s="458"/>
      <c r="M761" s="458"/>
      <c r="N761" s="458"/>
      <c r="O761" s="458"/>
      <c r="P761" s="458"/>
      <c r="Q761" s="458"/>
      <c r="R761" s="458"/>
      <c r="S761" s="458"/>
      <c r="T761" s="458"/>
      <c r="U761" s="458"/>
      <c r="V761" s="458"/>
      <c r="W761" s="458"/>
    </row>
    <row r="762" spans="1:23" ht="15.75" customHeight="1">
      <c r="A762" s="458"/>
      <c r="B762" s="458"/>
      <c r="C762" s="458"/>
      <c r="D762" s="458"/>
      <c r="E762" s="458"/>
      <c r="F762" s="458"/>
      <c r="G762" s="458"/>
      <c r="H762" s="458"/>
      <c r="I762" s="458"/>
      <c r="J762" s="458"/>
      <c r="K762" s="458"/>
      <c r="L762" s="458"/>
      <c r="M762" s="458"/>
      <c r="N762" s="458"/>
      <c r="O762" s="458"/>
      <c r="P762" s="458"/>
      <c r="Q762" s="458"/>
      <c r="R762" s="458"/>
      <c r="S762" s="458"/>
      <c r="T762" s="458"/>
      <c r="U762" s="458"/>
      <c r="V762" s="458"/>
      <c r="W762" s="458"/>
    </row>
    <row r="763" spans="1:23" ht="15.75" customHeight="1">
      <c r="A763" s="458"/>
      <c r="B763" s="458"/>
      <c r="C763" s="458"/>
      <c r="D763" s="458"/>
      <c r="E763" s="458"/>
      <c r="F763" s="458"/>
      <c r="G763" s="458"/>
      <c r="H763" s="458"/>
      <c r="I763" s="458"/>
      <c r="J763" s="458"/>
      <c r="K763" s="458"/>
      <c r="L763" s="458"/>
      <c r="M763" s="458"/>
      <c r="N763" s="458"/>
      <c r="O763" s="458"/>
      <c r="P763" s="458"/>
      <c r="Q763" s="458"/>
      <c r="R763" s="458"/>
      <c r="S763" s="458"/>
      <c r="T763" s="458"/>
      <c r="U763" s="458"/>
      <c r="V763" s="458"/>
      <c r="W763" s="458"/>
    </row>
    <row r="764" spans="1:23" ht="15.75" customHeight="1">
      <c r="A764" s="458"/>
      <c r="B764" s="458"/>
      <c r="C764" s="458"/>
      <c r="D764" s="458"/>
      <c r="E764" s="458"/>
      <c r="F764" s="458"/>
      <c r="G764" s="458"/>
      <c r="H764" s="458"/>
      <c r="I764" s="458"/>
      <c r="J764" s="458"/>
      <c r="K764" s="458"/>
      <c r="L764" s="458"/>
      <c r="M764" s="458"/>
      <c r="N764" s="458"/>
      <c r="O764" s="458"/>
      <c r="P764" s="458"/>
      <c r="Q764" s="458"/>
      <c r="R764" s="458"/>
      <c r="S764" s="458"/>
      <c r="T764" s="458"/>
      <c r="U764" s="458"/>
      <c r="V764" s="458"/>
      <c r="W764" s="458"/>
    </row>
    <row r="765" spans="1:23" ht="15.75" customHeight="1">
      <c r="A765" s="458"/>
      <c r="B765" s="458"/>
      <c r="C765" s="458"/>
      <c r="D765" s="458"/>
      <c r="E765" s="458"/>
      <c r="F765" s="458"/>
      <c r="G765" s="458"/>
      <c r="H765" s="458"/>
      <c r="I765" s="458"/>
      <c r="J765" s="458"/>
      <c r="K765" s="458"/>
      <c r="L765" s="458"/>
      <c r="M765" s="458"/>
      <c r="N765" s="458"/>
      <c r="O765" s="458"/>
      <c r="P765" s="458"/>
      <c r="Q765" s="458"/>
      <c r="R765" s="458"/>
      <c r="S765" s="458"/>
      <c r="T765" s="458"/>
      <c r="U765" s="458"/>
      <c r="V765" s="458"/>
      <c r="W765" s="458"/>
    </row>
    <row r="766" spans="1:23" ht="15.75" customHeight="1">
      <c r="A766" s="458"/>
      <c r="B766" s="458"/>
      <c r="C766" s="458"/>
      <c r="D766" s="458"/>
      <c r="E766" s="458"/>
      <c r="F766" s="458"/>
      <c r="G766" s="458"/>
      <c r="H766" s="458"/>
      <c r="I766" s="458"/>
      <c r="J766" s="458"/>
      <c r="K766" s="458"/>
      <c r="L766" s="458"/>
      <c r="M766" s="458"/>
      <c r="N766" s="458"/>
      <c r="O766" s="458"/>
      <c r="P766" s="458"/>
      <c r="Q766" s="458"/>
      <c r="R766" s="458"/>
      <c r="S766" s="458"/>
      <c r="T766" s="458"/>
      <c r="U766" s="458"/>
      <c r="V766" s="458"/>
      <c r="W766" s="458"/>
    </row>
    <row r="767" spans="1:23" ht="15.75" customHeight="1">
      <c r="A767" s="458"/>
      <c r="B767" s="458"/>
      <c r="C767" s="458"/>
      <c r="D767" s="458"/>
      <c r="E767" s="458"/>
      <c r="F767" s="458"/>
      <c r="G767" s="458"/>
      <c r="H767" s="458"/>
      <c r="I767" s="458"/>
      <c r="J767" s="458"/>
      <c r="K767" s="458"/>
      <c r="L767" s="458"/>
      <c r="M767" s="458"/>
      <c r="N767" s="458"/>
      <c r="O767" s="458"/>
      <c r="P767" s="458"/>
      <c r="Q767" s="458"/>
      <c r="R767" s="458"/>
      <c r="S767" s="458"/>
      <c r="T767" s="458"/>
      <c r="U767" s="458"/>
      <c r="V767" s="458"/>
      <c r="W767" s="458"/>
    </row>
    <row r="768" spans="1:23" ht="15.75" customHeight="1">
      <c r="A768" s="458"/>
      <c r="B768" s="458"/>
      <c r="C768" s="458"/>
      <c r="D768" s="458"/>
      <c r="E768" s="458"/>
      <c r="F768" s="458"/>
      <c r="G768" s="458"/>
      <c r="H768" s="458"/>
      <c r="I768" s="458"/>
      <c r="J768" s="458"/>
      <c r="K768" s="458"/>
      <c r="L768" s="458"/>
      <c r="M768" s="458"/>
      <c r="N768" s="458"/>
      <c r="O768" s="458"/>
      <c r="P768" s="458"/>
      <c r="Q768" s="458"/>
      <c r="R768" s="458"/>
      <c r="S768" s="458"/>
      <c r="T768" s="458"/>
      <c r="U768" s="458"/>
      <c r="V768" s="458"/>
      <c r="W768" s="458"/>
    </row>
    <row r="769" spans="1:23" ht="15.75" customHeight="1">
      <c r="A769" s="458"/>
      <c r="B769" s="458"/>
      <c r="C769" s="458"/>
      <c r="D769" s="458"/>
      <c r="E769" s="458"/>
      <c r="F769" s="458"/>
      <c r="G769" s="458"/>
      <c r="H769" s="458"/>
      <c r="I769" s="458"/>
      <c r="J769" s="458"/>
      <c r="K769" s="458"/>
      <c r="L769" s="458"/>
      <c r="M769" s="458"/>
      <c r="N769" s="458"/>
      <c r="O769" s="458"/>
      <c r="P769" s="458"/>
      <c r="Q769" s="458"/>
      <c r="R769" s="458"/>
      <c r="S769" s="458"/>
      <c r="T769" s="458"/>
      <c r="U769" s="458"/>
      <c r="V769" s="458"/>
      <c r="W769" s="458"/>
    </row>
    <row r="770" spans="1:23" ht="15.75" customHeight="1">
      <c r="A770" s="458"/>
      <c r="B770" s="458"/>
      <c r="C770" s="458"/>
      <c r="D770" s="458"/>
      <c r="E770" s="458"/>
      <c r="F770" s="458"/>
      <c r="G770" s="458"/>
      <c r="H770" s="458"/>
      <c r="I770" s="458"/>
      <c r="J770" s="458"/>
      <c r="K770" s="458"/>
      <c r="L770" s="458"/>
      <c r="M770" s="458"/>
      <c r="N770" s="458"/>
      <c r="O770" s="458"/>
      <c r="P770" s="458"/>
      <c r="Q770" s="458"/>
      <c r="R770" s="458"/>
      <c r="S770" s="458"/>
      <c r="T770" s="458"/>
      <c r="U770" s="458"/>
      <c r="V770" s="458"/>
      <c r="W770" s="458"/>
    </row>
    <row r="771" spans="1:23" ht="15.75" customHeight="1">
      <c r="A771" s="458"/>
      <c r="B771" s="458"/>
      <c r="C771" s="458"/>
      <c r="D771" s="458"/>
      <c r="E771" s="458"/>
      <c r="F771" s="458"/>
      <c r="G771" s="458"/>
      <c r="H771" s="458"/>
      <c r="I771" s="458"/>
      <c r="J771" s="458"/>
      <c r="K771" s="458"/>
      <c r="L771" s="458"/>
      <c r="M771" s="458"/>
      <c r="N771" s="458"/>
      <c r="O771" s="458"/>
      <c r="P771" s="458"/>
      <c r="Q771" s="458"/>
      <c r="R771" s="458"/>
      <c r="S771" s="458"/>
      <c r="T771" s="458"/>
      <c r="U771" s="458"/>
      <c r="V771" s="458"/>
      <c r="W771" s="458"/>
    </row>
    <row r="772" spans="1:23" ht="15.75" customHeight="1">
      <c r="A772" s="458"/>
      <c r="B772" s="458"/>
      <c r="C772" s="458"/>
      <c r="D772" s="458"/>
      <c r="E772" s="458"/>
      <c r="F772" s="458"/>
      <c r="G772" s="458"/>
      <c r="H772" s="458"/>
      <c r="I772" s="458"/>
      <c r="J772" s="458"/>
      <c r="K772" s="458"/>
      <c r="L772" s="458"/>
      <c r="M772" s="458"/>
      <c r="N772" s="458"/>
      <c r="O772" s="458"/>
      <c r="P772" s="458"/>
      <c r="Q772" s="458"/>
      <c r="R772" s="458"/>
      <c r="S772" s="458"/>
      <c r="T772" s="458"/>
      <c r="U772" s="458"/>
      <c r="V772" s="458"/>
      <c r="W772" s="458"/>
    </row>
    <row r="773" spans="1:23" ht="15.75" customHeight="1">
      <c r="A773" s="458"/>
      <c r="B773" s="458"/>
      <c r="C773" s="458"/>
      <c r="D773" s="458"/>
      <c r="E773" s="458"/>
      <c r="F773" s="458"/>
      <c r="G773" s="458"/>
      <c r="H773" s="458"/>
      <c r="I773" s="458"/>
      <c r="J773" s="458"/>
      <c r="K773" s="458"/>
      <c r="L773" s="458"/>
      <c r="M773" s="458"/>
      <c r="N773" s="458"/>
      <c r="O773" s="458"/>
      <c r="P773" s="458"/>
      <c r="Q773" s="458"/>
      <c r="R773" s="458"/>
      <c r="S773" s="458"/>
      <c r="T773" s="458"/>
      <c r="U773" s="458"/>
      <c r="V773" s="458"/>
      <c r="W773" s="458"/>
    </row>
    <row r="774" spans="1:23" ht="15.75" customHeight="1">
      <c r="A774" s="458"/>
      <c r="B774" s="458"/>
      <c r="C774" s="458"/>
      <c r="D774" s="458"/>
      <c r="E774" s="458"/>
      <c r="F774" s="458"/>
      <c r="G774" s="458"/>
      <c r="H774" s="458"/>
      <c r="I774" s="458"/>
      <c r="J774" s="458"/>
      <c r="K774" s="458"/>
      <c r="L774" s="458"/>
      <c r="M774" s="458"/>
      <c r="N774" s="458"/>
      <c r="O774" s="458"/>
      <c r="P774" s="458"/>
      <c r="Q774" s="458"/>
      <c r="R774" s="458"/>
      <c r="S774" s="458"/>
      <c r="T774" s="458"/>
      <c r="U774" s="458"/>
      <c r="V774" s="458"/>
      <c r="W774" s="458"/>
    </row>
    <row r="775" spans="1:23" ht="15.75" customHeight="1">
      <c r="A775" s="458"/>
      <c r="B775" s="458"/>
      <c r="C775" s="458"/>
      <c r="D775" s="458"/>
      <c r="E775" s="458"/>
      <c r="F775" s="458"/>
      <c r="G775" s="458"/>
      <c r="H775" s="458"/>
      <c r="I775" s="458"/>
      <c r="J775" s="458"/>
      <c r="K775" s="458"/>
      <c r="L775" s="458"/>
      <c r="M775" s="458"/>
      <c r="N775" s="458"/>
      <c r="O775" s="458"/>
      <c r="P775" s="458"/>
      <c r="Q775" s="458"/>
      <c r="R775" s="458"/>
      <c r="S775" s="458"/>
      <c r="T775" s="458"/>
      <c r="U775" s="458"/>
      <c r="V775" s="458"/>
      <c r="W775" s="458"/>
    </row>
    <row r="776" spans="1:23" ht="15.75" customHeight="1">
      <c r="A776" s="458"/>
      <c r="B776" s="458"/>
      <c r="C776" s="458"/>
      <c r="D776" s="458"/>
      <c r="E776" s="458"/>
      <c r="F776" s="458"/>
      <c r="G776" s="458"/>
      <c r="H776" s="458"/>
      <c r="I776" s="458"/>
      <c r="J776" s="458"/>
      <c r="K776" s="458"/>
      <c r="L776" s="458"/>
      <c r="M776" s="458"/>
      <c r="N776" s="458"/>
      <c r="O776" s="458"/>
      <c r="P776" s="458"/>
      <c r="Q776" s="458"/>
      <c r="R776" s="458"/>
      <c r="S776" s="458"/>
      <c r="T776" s="458"/>
      <c r="U776" s="458"/>
      <c r="V776" s="458"/>
      <c r="W776" s="458"/>
    </row>
    <row r="777" spans="1:23" ht="15.75" customHeight="1">
      <c r="A777" s="458"/>
      <c r="B777" s="458"/>
      <c r="C777" s="458"/>
      <c r="D777" s="458"/>
      <c r="E777" s="458"/>
      <c r="F777" s="458"/>
      <c r="G777" s="458"/>
      <c r="H777" s="458"/>
      <c r="I777" s="458"/>
      <c r="J777" s="458"/>
      <c r="K777" s="458"/>
      <c r="L777" s="458"/>
      <c r="M777" s="458"/>
      <c r="N777" s="458"/>
      <c r="O777" s="458"/>
      <c r="P777" s="458"/>
      <c r="Q777" s="458"/>
      <c r="R777" s="458"/>
      <c r="S777" s="458"/>
      <c r="T777" s="458"/>
      <c r="U777" s="458"/>
      <c r="V777" s="458"/>
      <c r="W777" s="458"/>
    </row>
    <row r="778" spans="1:23" ht="15.75" customHeight="1">
      <c r="A778" s="458"/>
      <c r="B778" s="458"/>
      <c r="C778" s="458"/>
      <c r="D778" s="458"/>
      <c r="E778" s="458"/>
      <c r="F778" s="458"/>
      <c r="G778" s="458"/>
      <c r="H778" s="458"/>
      <c r="I778" s="458"/>
      <c r="J778" s="458"/>
      <c r="K778" s="458"/>
      <c r="L778" s="458"/>
      <c r="M778" s="458"/>
      <c r="N778" s="458"/>
      <c r="O778" s="458"/>
      <c r="P778" s="458"/>
      <c r="Q778" s="458"/>
      <c r="R778" s="458"/>
      <c r="S778" s="458"/>
      <c r="T778" s="458"/>
      <c r="U778" s="458"/>
      <c r="V778" s="458"/>
      <c r="W778" s="458"/>
    </row>
    <row r="779" spans="1:23" ht="15.75" customHeight="1">
      <c r="A779" s="458"/>
      <c r="B779" s="458"/>
      <c r="C779" s="458"/>
      <c r="D779" s="458"/>
      <c r="E779" s="458"/>
      <c r="F779" s="458"/>
      <c r="G779" s="458"/>
      <c r="H779" s="458"/>
      <c r="I779" s="458"/>
      <c r="J779" s="458"/>
      <c r="K779" s="458"/>
      <c r="L779" s="458"/>
      <c r="M779" s="458"/>
      <c r="N779" s="458"/>
      <c r="O779" s="458"/>
      <c r="P779" s="458"/>
      <c r="Q779" s="458"/>
      <c r="R779" s="458"/>
      <c r="S779" s="458"/>
      <c r="T779" s="458"/>
      <c r="U779" s="458"/>
      <c r="V779" s="458"/>
      <c r="W779" s="458"/>
    </row>
    <row r="780" spans="1:23" ht="15.75" customHeight="1">
      <c r="A780" s="458"/>
      <c r="B780" s="458"/>
      <c r="C780" s="458"/>
      <c r="D780" s="458"/>
      <c r="E780" s="458"/>
      <c r="F780" s="458"/>
      <c r="G780" s="458"/>
      <c r="H780" s="458"/>
      <c r="I780" s="458"/>
      <c r="J780" s="458"/>
      <c r="K780" s="458"/>
      <c r="L780" s="458"/>
      <c r="M780" s="458"/>
      <c r="N780" s="458"/>
      <c r="O780" s="458"/>
      <c r="P780" s="458"/>
      <c r="Q780" s="458"/>
      <c r="R780" s="458"/>
      <c r="S780" s="458"/>
      <c r="T780" s="458"/>
      <c r="U780" s="458"/>
      <c r="V780" s="458"/>
      <c r="W780" s="458"/>
    </row>
    <row r="781" spans="1:23" ht="15.75" customHeight="1">
      <c r="A781" s="458"/>
      <c r="B781" s="458"/>
      <c r="C781" s="458"/>
      <c r="D781" s="458"/>
      <c r="E781" s="458"/>
      <c r="F781" s="458"/>
      <c r="G781" s="458"/>
      <c r="H781" s="458"/>
      <c r="I781" s="458"/>
      <c r="J781" s="458"/>
      <c r="K781" s="458"/>
      <c r="L781" s="458"/>
      <c r="M781" s="458"/>
      <c r="N781" s="458"/>
      <c r="O781" s="458"/>
      <c r="P781" s="458"/>
      <c r="Q781" s="458"/>
      <c r="R781" s="458"/>
      <c r="S781" s="458"/>
      <c r="T781" s="458"/>
      <c r="U781" s="458"/>
      <c r="V781" s="458"/>
      <c r="W781" s="458"/>
    </row>
    <row r="782" spans="1:23" ht="15.75" customHeight="1">
      <c r="A782" s="458"/>
      <c r="B782" s="458"/>
      <c r="C782" s="458"/>
      <c r="D782" s="458"/>
      <c r="E782" s="458"/>
      <c r="F782" s="458"/>
      <c r="G782" s="458"/>
      <c r="H782" s="458"/>
      <c r="I782" s="458"/>
      <c r="J782" s="458"/>
      <c r="K782" s="458"/>
      <c r="L782" s="458"/>
      <c r="M782" s="458"/>
      <c r="N782" s="458"/>
      <c r="O782" s="458"/>
      <c r="P782" s="458"/>
      <c r="Q782" s="458"/>
      <c r="R782" s="458"/>
      <c r="S782" s="458"/>
      <c r="T782" s="458"/>
      <c r="U782" s="458"/>
      <c r="V782" s="458"/>
      <c r="W782" s="458"/>
    </row>
    <row r="783" spans="1:23" ht="15.75" customHeight="1">
      <c r="A783" s="458"/>
      <c r="B783" s="458"/>
      <c r="C783" s="458"/>
      <c r="D783" s="458"/>
      <c r="E783" s="458"/>
      <c r="F783" s="458"/>
      <c r="G783" s="458"/>
      <c r="H783" s="458"/>
      <c r="I783" s="458"/>
      <c r="J783" s="458"/>
      <c r="K783" s="458"/>
      <c r="L783" s="458"/>
      <c r="M783" s="458"/>
      <c r="N783" s="458"/>
      <c r="O783" s="458"/>
      <c r="P783" s="458"/>
      <c r="Q783" s="458"/>
      <c r="R783" s="458"/>
      <c r="S783" s="458"/>
      <c r="T783" s="458"/>
      <c r="U783" s="458"/>
      <c r="V783" s="458"/>
      <c r="W783" s="458"/>
    </row>
    <row r="784" spans="1:23" ht="15.75" customHeight="1">
      <c r="A784" s="458"/>
      <c r="B784" s="458"/>
      <c r="C784" s="458"/>
      <c r="D784" s="458"/>
      <c r="E784" s="458"/>
      <c r="F784" s="458"/>
      <c r="G784" s="458"/>
      <c r="H784" s="458"/>
      <c r="I784" s="458"/>
      <c r="J784" s="458"/>
      <c r="K784" s="458"/>
      <c r="L784" s="458"/>
      <c r="M784" s="458"/>
      <c r="N784" s="458"/>
      <c r="O784" s="458"/>
      <c r="P784" s="458"/>
      <c r="Q784" s="458"/>
      <c r="R784" s="458"/>
      <c r="S784" s="458"/>
      <c r="T784" s="458"/>
      <c r="U784" s="458"/>
      <c r="V784" s="458"/>
      <c r="W784" s="458"/>
    </row>
    <row r="785" spans="1:23" ht="15.75" customHeight="1">
      <c r="A785" s="458"/>
      <c r="B785" s="458"/>
      <c r="C785" s="458"/>
      <c r="D785" s="458"/>
      <c r="E785" s="458"/>
      <c r="F785" s="458"/>
      <c r="G785" s="458"/>
      <c r="H785" s="458"/>
      <c r="I785" s="458"/>
      <c r="J785" s="458"/>
      <c r="K785" s="458"/>
      <c r="L785" s="458"/>
      <c r="M785" s="458"/>
      <c r="N785" s="458"/>
      <c r="O785" s="458"/>
      <c r="P785" s="458"/>
      <c r="Q785" s="458"/>
      <c r="R785" s="458"/>
      <c r="S785" s="458"/>
      <c r="T785" s="458"/>
      <c r="U785" s="458"/>
      <c r="V785" s="458"/>
      <c r="W785" s="458"/>
    </row>
    <row r="786" spans="1:23" ht="15.75" customHeight="1">
      <c r="A786" s="458"/>
      <c r="B786" s="458"/>
      <c r="C786" s="458"/>
      <c r="D786" s="458"/>
      <c r="E786" s="458"/>
      <c r="F786" s="458"/>
      <c r="G786" s="458"/>
      <c r="H786" s="458"/>
      <c r="I786" s="458"/>
      <c r="J786" s="458"/>
      <c r="K786" s="458"/>
      <c r="L786" s="458"/>
      <c r="M786" s="458"/>
      <c r="N786" s="458"/>
      <c r="O786" s="458"/>
      <c r="P786" s="458"/>
      <c r="Q786" s="458"/>
      <c r="R786" s="458"/>
      <c r="S786" s="458"/>
      <c r="T786" s="458"/>
      <c r="U786" s="458"/>
      <c r="V786" s="458"/>
      <c r="W786" s="458"/>
    </row>
    <row r="787" spans="1:23" ht="15.75" customHeight="1">
      <c r="A787" s="458"/>
      <c r="B787" s="458"/>
      <c r="C787" s="458"/>
      <c r="D787" s="458"/>
      <c r="E787" s="458"/>
      <c r="F787" s="458"/>
      <c r="G787" s="458"/>
      <c r="H787" s="458"/>
      <c r="I787" s="458"/>
      <c r="J787" s="458"/>
      <c r="K787" s="458"/>
      <c r="L787" s="458"/>
      <c r="M787" s="458"/>
      <c r="N787" s="458"/>
      <c r="O787" s="458"/>
      <c r="P787" s="458"/>
      <c r="Q787" s="458"/>
      <c r="R787" s="458"/>
      <c r="S787" s="458"/>
      <c r="T787" s="458"/>
      <c r="U787" s="458"/>
      <c r="V787" s="458"/>
      <c r="W787" s="458"/>
    </row>
    <row r="788" spans="1:23" ht="15.75" customHeight="1">
      <c r="A788" s="458"/>
      <c r="B788" s="458"/>
      <c r="C788" s="458"/>
      <c r="D788" s="458"/>
      <c r="E788" s="458"/>
      <c r="F788" s="458"/>
      <c r="G788" s="458"/>
      <c r="H788" s="458"/>
      <c r="I788" s="458"/>
      <c r="J788" s="458"/>
      <c r="K788" s="458"/>
      <c r="L788" s="458"/>
      <c r="M788" s="458"/>
      <c r="N788" s="458"/>
      <c r="O788" s="458"/>
      <c r="P788" s="458"/>
      <c r="Q788" s="458"/>
      <c r="R788" s="458"/>
      <c r="S788" s="458"/>
      <c r="T788" s="458"/>
      <c r="U788" s="458"/>
      <c r="V788" s="458"/>
      <c r="W788" s="458"/>
    </row>
    <row r="789" spans="1:23" ht="15.75" customHeight="1">
      <c r="A789" s="458"/>
      <c r="B789" s="458"/>
      <c r="C789" s="458"/>
      <c r="D789" s="458"/>
      <c r="E789" s="458"/>
      <c r="F789" s="458"/>
      <c r="G789" s="458"/>
      <c r="H789" s="458"/>
      <c r="I789" s="458"/>
      <c r="J789" s="458"/>
      <c r="K789" s="458"/>
      <c r="L789" s="458"/>
      <c r="M789" s="458"/>
      <c r="N789" s="458"/>
      <c r="O789" s="458"/>
      <c r="P789" s="458"/>
      <c r="Q789" s="458"/>
      <c r="R789" s="458"/>
      <c r="S789" s="458"/>
      <c r="T789" s="458"/>
      <c r="U789" s="458"/>
      <c r="V789" s="458"/>
      <c r="W789" s="458"/>
    </row>
    <row r="790" spans="1:23" ht="15.75" customHeight="1">
      <c r="A790" s="458"/>
      <c r="B790" s="458"/>
      <c r="C790" s="458"/>
      <c r="D790" s="458"/>
      <c r="E790" s="458"/>
      <c r="F790" s="458"/>
      <c r="G790" s="458"/>
      <c r="H790" s="458"/>
      <c r="I790" s="458"/>
      <c r="J790" s="458"/>
      <c r="K790" s="458"/>
      <c r="L790" s="458"/>
      <c r="M790" s="458"/>
      <c r="N790" s="458"/>
      <c r="O790" s="458"/>
      <c r="P790" s="458"/>
      <c r="Q790" s="458"/>
      <c r="R790" s="458"/>
      <c r="S790" s="458"/>
      <c r="T790" s="458"/>
      <c r="U790" s="458"/>
      <c r="V790" s="458"/>
      <c r="W790" s="458"/>
    </row>
    <row r="791" spans="1:23" ht="15.75" customHeight="1">
      <c r="A791" s="458"/>
      <c r="B791" s="458"/>
      <c r="C791" s="458"/>
      <c r="D791" s="458"/>
      <c r="E791" s="458"/>
      <c r="F791" s="458"/>
      <c r="G791" s="458"/>
      <c r="H791" s="458"/>
      <c r="I791" s="458"/>
      <c r="J791" s="458"/>
      <c r="K791" s="458"/>
      <c r="L791" s="458"/>
      <c r="M791" s="458"/>
      <c r="N791" s="458"/>
      <c r="O791" s="458"/>
      <c r="P791" s="458"/>
      <c r="Q791" s="458"/>
      <c r="R791" s="458"/>
      <c r="S791" s="458"/>
      <c r="T791" s="458"/>
      <c r="U791" s="458"/>
      <c r="V791" s="458"/>
      <c r="W791" s="458"/>
    </row>
    <row r="792" spans="1:23" ht="15.75" customHeight="1">
      <c r="A792" s="458"/>
      <c r="B792" s="458"/>
      <c r="C792" s="458"/>
      <c r="D792" s="458"/>
      <c r="E792" s="458"/>
      <c r="F792" s="458"/>
      <c r="G792" s="458"/>
      <c r="H792" s="458"/>
      <c r="I792" s="458"/>
      <c r="J792" s="458"/>
      <c r="K792" s="458"/>
      <c r="L792" s="458"/>
      <c r="M792" s="458"/>
      <c r="N792" s="458"/>
      <c r="O792" s="458"/>
      <c r="P792" s="458"/>
      <c r="Q792" s="458"/>
      <c r="R792" s="458"/>
      <c r="S792" s="458"/>
      <c r="T792" s="458"/>
      <c r="U792" s="458"/>
      <c r="V792" s="458"/>
      <c r="W792" s="458"/>
    </row>
    <row r="793" spans="1:23" ht="15.75" customHeight="1">
      <c r="A793" s="458"/>
      <c r="B793" s="458"/>
      <c r="C793" s="458"/>
      <c r="D793" s="458"/>
      <c r="E793" s="458"/>
      <c r="F793" s="458"/>
      <c r="G793" s="458"/>
      <c r="H793" s="458"/>
      <c r="I793" s="458"/>
      <c r="J793" s="458"/>
      <c r="K793" s="458"/>
      <c r="L793" s="458"/>
      <c r="M793" s="458"/>
      <c r="N793" s="458"/>
      <c r="O793" s="458"/>
      <c r="P793" s="458"/>
      <c r="Q793" s="458"/>
      <c r="R793" s="458"/>
      <c r="S793" s="458"/>
      <c r="T793" s="458"/>
      <c r="U793" s="458"/>
      <c r="V793" s="458"/>
      <c r="W793" s="458"/>
    </row>
    <row r="794" spans="1:23" ht="15.75" customHeight="1">
      <c r="A794" s="458"/>
      <c r="B794" s="458"/>
      <c r="C794" s="458"/>
      <c r="D794" s="458"/>
      <c r="E794" s="458"/>
      <c r="F794" s="458"/>
      <c r="G794" s="458"/>
      <c r="H794" s="458"/>
      <c r="I794" s="458"/>
      <c r="J794" s="458"/>
      <c r="K794" s="458"/>
      <c r="L794" s="458"/>
      <c r="M794" s="458"/>
      <c r="N794" s="458"/>
      <c r="O794" s="458"/>
      <c r="P794" s="458"/>
      <c r="Q794" s="458"/>
      <c r="R794" s="458"/>
      <c r="S794" s="458"/>
      <c r="T794" s="458"/>
      <c r="U794" s="458"/>
      <c r="V794" s="458"/>
      <c r="W794" s="458"/>
    </row>
    <row r="795" spans="1:23" ht="15.75" customHeight="1">
      <c r="A795" s="458"/>
      <c r="B795" s="458"/>
      <c r="C795" s="458"/>
      <c r="D795" s="458"/>
      <c r="E795" s="458"/>
      <c r="F795" s="458"/>
      <c r="G795" s="458"/>
      <c r="H795" s="458"/>
      <c r="I795" s="458"/>
      <c r="J795" s="458"/>
      <c r="K795" s="458"/>
      <c r="L795" s="458"/>
      <c r="M795" s="458"/>
      <c r="N795" s="458"/>
      <c r="O795" s="458"/>
      <c r="P795" s="458"/>
      <c r="Q795" s="458"/>
      <c r="R795" s="458"/>
      <c r="S795" s="458"/>
      <c r="T795" s="458"/>
      <c r="U795" s="458"/>
      <c r="V795" s="458"/>
      <c r="W795" s="458"/>
    </row>
    <row r="796" spans="1:23" ht="15.75" customHeight="1">
      <c r="A796" s="458"/>
      <c r="B796" s="458"/>
      <c r="C796" s="458"/>
      <c r="D796" s="458"/>
      <c r="E796" s="458"/>
      <c r="F796" s="458"/>
      <c r="G796" s="458"/>
      <c r="H796" s="458"/>
      <c r="I796" s="458"/>
      <c r="J796" s="458"/>
      <c r="K796" s="458"/>
      <c r="L796" s="458"/>
      <c r="M796" s="458"/>
      <c r="N796" s="458"/>
      <c r="O796" s="458"/>
      <c r="P796" s="458"/>
      <c r="Q796" s="458"/>
      <c r="R796" s="458"/>
      <c r="S796" s="458"/>
      <c r="T796" s="458"/>
      <c r="U796" s="458"/>
      <c r="V796" s="458"/>
      <c r="W796" s="458"/>
    </row>
    <row r="797" spans="1:23" ht="15.75" customHeight="1">
      <c r="A797" s="458"/>
      <c r="B797" s="458"/>
      <c r="C797" s="458"/>
      <c r="D797" s="458"/>
      <c r="E797" s="458"/>
      <c r="F797" s="458"/>
      <c r="G797" s="458"/>
      <c r="H797" s="458"/>
      <c r="I797" s="458"/>
      <c r="J797" s="458"/>
      <c r="K797" s="458"/>
      <c r="L797" s="458"/>
      <c r="M797" s="458"/>
      <c r="N797" s="458"/>
      <c r="O797" s="458"/>
      <c r="P797" s="458"/>
      <c r="Q797" s="458"/>
      <c r="R797" s="458"/>
      <c r="S797" s="458"/>
      <c r="T797" s="458"/>
      <c r="U797" s="458"/>
      <c r="V797" s="458"/>
      <c r="W797" s="458"/>
    </row>
    <row r="798" spans="1:23" ht="15.75" customHeight="1">
      <c r="A798" s="458"/>
      <c r="B798" s="458"/>
      <c r="C798" s="458"/>
      <c r="D798" s="458"/>
      <c r="E798" s="458"/>
      <c r="F798" s="458"/>
      <c r="G798" s="458"/>
      <c r="H798" s="458"/>
      <c r="I798" s="458"/>
      <c r="J798" s="458"/>
      <c r="K798" s="458"/>
      <c r="L798" s="458"/>
      <c r="M798" s="458"/>
      <c r="N798" s="458"/>
      <c r="O798" s="458"/>
      <c r="P798" s="458"/>
      <c r="Q798" s="458"/>
      <c r="R798" s="458"/>
      <c r="S798" s="458"/>
      <c r="T798" s="458"/>
      <c r="U798" s="458"/>
      <c r="V798" s="458"/>
      <c r="W798" s="458"/>
    </row>
    <row r="799" spans="1:23" ht="15.75" customHeight="1">
      <c r="A799" s="458"/>
      <c r="B799" s="458"/>
      <c r="C799" s="458"/>
      <c r="D799" s="458"/>
      <c r="E799" s="458"/>
      <c r="F799" s="458"/>
      <c r="G799" s="458"/>
      <c r="H799" s="458"/>
      <c r="I799" s="458"/>
      <c r="J799" s="458"/>
      <c r="K799" s="458"/>
      <c r="L799" s="458"/>
      <c r="M799" s="458"/>
      <c r="N799" s="458"/>
      <c r="O799" s="458"/>
      <c r="P799" s="458"/>
      <c r="Q799" s="458"/>
      <c r="R799" s="458"/>
      <c r="S799" s="458"/>
      <c r="T799" s="458"/>
      <c r="U799" s="458"/>
      <c r="V799" s="458"/>
      <c r="W799" s="458"/>
    </row>
    <row r="800" spans="1:23" ht="15.75" customHeight="1">
      <c r="A800" s="458"/>
      <c r="B800" s="458"/>
      <c r="C800" s="458"/>
      <c r="D800" s="458"/>
      <c r="E800" s="458"/>
      <c r="F800" s="458"/>
      <c r="G800" s="458"/>
      <c r="H800" s="458"/>
      <c r="I800" s="458"/>
      <c r="J800" s="458"/>
      <c r="K800" s="458"/>
      <c r="L800" s="458"/>
      <c r="M800" s="458"/>
      <c r="N800" s="458"/>
      <c r="O800" s="458"/>
      <c r="P800" s="458"/>
      <c r="Q800" s="458"/>
      <c r="R800" s="458"/>
      <c r="S800" s="458"/>
      <c r="T800" s="458"/>
      <c r="U800" s="458"/>
      <c r="V800" s="458"/>
      <c r="W800" s="458"/>
    </row>
    <row r="801" spans="1:23" ht="15.75" customHeight="1">
      <c r="A801" s="458"/>
      <c r="B801" s="458"/>
      <c r="C801" s="458"/>
      <c r="D801" s="458"/>
      <c r="E801" s="458"/>
      <c r="F801" s="458"/>
      <c r="G801" s="458"/>
      <c r="H801" s="458"/>
      <c r="I801" s="458"/>
      <c r="J801" s="458"/>
      <c r="K801" s="458"/>
      <c r="L801" s="458"/>
      <c r="M801" s="458"/>
      <c r="N801" s="458"/>
      <c r="O801" s="458"/>
      <c r="P801" s="458"/>
      <c r="Q801" s="458"/>
      <c r="R801" s="458"/>
      <c r="S801" s="458"/>
      <c r="T801" s="458"/>
      <c r="U801" s="458"/>
      <c r="V801" s="458"/>
      <c r="W801" s="458"/>
    </row>
    <row r="802" spans="1:23" ht="15.75" customHeight="1">
      <c r="A802" s="458"/>
      <c r="B802" s="458"/>
      <c r="C802" s="458"/>
      <c r="D802" s="458"/>
      <c r="E802" s="458"/>
      <c r="F802" s="458"/>
      <c r="G802" s="458"/>
      <c r="H802" s="458"/>
      <c r="I802" s="458"/>
      <c r="J802" s="458"/>
      <c r="K802" s="458"/>
      <c r="L802" s="458"/>
      <c r="M802" s="458"/>
      <c r="N802" s="458"/>
      <c r="O802" s="458"/>
      <c r="P802" s="458"/>
      <c r="Q802" s="458"/>
      <c r="R802" s="458"/>
      <c r="S802" s="458"/>
      <c r="T802" s="458"/>
      <c r="U802" s="458"/>
      <c r="V802" s="458"/>
      <c r="W802" s="458"/>
    </row>
    <row r="803" spans="1:23" ht="15.75" customHeight="1">
      <c r="A803" s="458"/>
      <c r="B803" s="458"/>
      <c r="C803" s="458"/>
      <c r="D803" s="458"/>
      <c r="E803" s="458"/>
      <c r="F803" s="458"/>
      <c r="G803" s="458"/>
      <c r="H803" s="458"/>
      <c r="I803" s="458"/>
      <c r="J803" s="458"/>
      <c r="K803" s="458"/>
      <c r="L803" s="458"/>
      <c r="M803" s="458"/>
      <c r="N803" s="458"/>
      <c r="O803" s="458"/>
      <c r="P803" s="458"/>
      <c r="Q803" s="458"/>
      <c r="R803" s="458"/>
      <c r="S803" s="458"/>
      <c r="T803" s="458"/>
      <c r="U803" s="458"/>
      <c r="V803" s="458"/>
      <c r="W803" s="458"/>
    </row>
    <row r="804" spans="1:23" ht="15.75" customHeight="1">
      <c r="A804" s="458"/>
      <c r="B804" s="458"/>
      <c r="C804" s="458"/>
      <c r="D804" s="458"/>
      <c r="E804" s="458"/>
      <c r="F804" s="458"/>
      <c r="G804" s="458"/>
      <c r="H804" s="458"/>
      <c r="I804" s="458"/>
      <c r="J804" s="458"/>
      <c r="K804" s="458"/>
      <c r="L804" s="458"/>
      <c r="M804" s="458"/>
      <c r="N804" s="458"/>
      <c r="O804" s="458"/>
      <c r="P804" s="458"/>
      <c r="Q804" s="458"/>
      <c r="R804" s="458"/>
      <c r="S804" s="458"/>
      <c r="T804" s="458"/>
      <c r="U804" s="458"/>
      <c r="V804" s="458"/>
      <c r="W804" s="458"/>
    </row>
    <row r="805" spans="1:23" ht="15.75" customHeight="1">
      <c r="A805" s="458"/>
      <c r="B805" s="458"/>
      <c r="C805" s="458"/>
      <c r="D805" s="458"/>
      <c r="E805" s="458"/>
      <c r="F805" s="458"/>
      <c r="G805" s="458"/>
      <c r="H805" s="458"/>
      <c r="I805" s="458"/>
      <c r="J805" s="458"/>
      <c r="K805" s="458"/>
      <c r="L805" s="458"/>
      <c r="M805" s="458"/>
      <c r="N805" s="458"/>
      <c r="O805" s="458"/>
      <c r="P805" s="458"/>
      <c r="Q805" s="458"/>
      <c r="R805" s="458"/>
      <c r="S805" s="458"/>
      <c r="T805" s="458"/>
      <c r="U805" s="458"/>
      <c r="V805" s="458"/>
      <c r="W805" s="458"/>
    </row>
    <row r="806" spans="1:23" ht="15.75" customHeight="1">
      <c r="A806" s="458"/>
      <c r="B806" s="458"/>
      <c r="C806" s="458"/>
      <c r="D806" s="458"/>
      <c r="E806" s="458"/>
      <c r="F806" s="458"/>
      <c r="G806" s="458"/>
      <c r="H806" s="458"/>
      <c r="I806" s="458"/>
      <c r="J806" s="458"/>
      <c r="K806" s="458"/>
      <c r="L806" s="458"/>
      <c r="M806" s="458"/>
      <c r="N806" s="458"/>
      <c r="O806" s="458"/>
      <c r="P806" s="458"/>
      <c r="Q806" s="458"/>
      <c r="R806" s="458"/>
      <c r="S806" s="458"/>
      <c r="T806" s="458"/>
      <c r="U806" s="458"/>
      <c r="V806" s="458"/>
      <c r="W806" s="458"/>
    </row>
    <row r="807" spans="1:23" ht="15.75" customHeight="1">
      <c r="A807" s="458"/>
      <c r="B807" s="458"/>
      <c r="C807" s="458"/>
      <c r="D807" s="458"/>
      <c r="E807" s="458"/>
      <c r="F807" s="458"/>
      <c r="G807" s="458"/>
      <c r="H807" s="458"/>
      <c r="I807" s="458"/>
      <c r="J807" s="458"/>
      <c r="K807" s="458"/>
      <c r="L807" s="458"/>
      <c r="M807" s="458"/>
      <c r="N807" s="458"/>
      <c r="O807" s="458"/>
      <c r="P807" s="458"/>
      <c r="Q807" s="458"/>
      <c r="R807" s="458"/>
      <c r="S807" s="458"/>
      <c r="T807" s="458"/>
      <c r="U807" s="458"/>
      <c r="V807" s="458"/>
      <c r="W807" s="458"/>
    </row>
    <row r="808" spans="1:23" ht="15.75" customHeight="1">
      <c r="A808" s="458"/>
      <c r="B808" s="458"/>
      <c r="C808" s="458"/>
      <c r="D808" s="458"/>
      <c r="E808" s="458"/>
      <c r="F808" s="458"/>
      <c r="G808" s="458"/>
      <c r="H808" s="458"/>
      <c r="I808" s="458"/>
      <c r="J808" s="458"/>
      <c r="K808" s="458"/>
      <c r="L808" s="458"/>
      <c r="M808" s="458"/>
      <c r="N808" s="458"/>
      <c r="O808" s="458"/>
      <c r="P808" s="458"/>
      <c r="Q808" s="458"/>
      <c r="R808" s="458"/>
      <c r="S808" s="458"/>
      <c r="T808" s="458"/>
      <c r="U808" s="458"/>
      <c r="V808" s="458"/>
      <c r="W808" s="458"/>
    </row>
    <row r="809" spans="1:23" ht="15.75" customHeight="1">
      <c r="A809" s="458"/>
      <c r="B809" s="458"/>
      <c r="C809" s="458"/>
      <c r="D809" s="458"/>
      <c r="E809" s="458"/>
      <c r="F809" s="458"/>
      <c r="G809" s="458"/>
      <c r="H809" s="458"/>
      <c r="I809" s="458"/>
      <c r="J809" s="458"/>
      <c r="K809" s="458"/>
      <c r="L809" s="458"/>
      <c r="M809" s="458"/>
      <c r="N809" s="458"/>
      <c r="O809" s="458"/>
      <c r="P809" s="458"/>
      <c r="Q809" s="458"/>
      <c r="R809" s="458"/>
      <c r="S809" s="458"/>
      <c r="T809" s="458"/>
      <c r="U809" s="458"/>
      <c r="V809" s="458"/>
      <c r="W809" s="458"/>
    </row>
    <row r="810" spans="1:23" ht="15.75" customHeight="1">
      <c r="A810" s="458"/>
      <c r="B810" s="458"/>
      <c r="C810" s="458"/>
      <c r="D810" s="458"/>
      <c r="E810" s="458"/>
      <c r="F810" s="458"/>
      <c r="G810" s="458"/>
      <c r="H810" s="458"/>
      <c r="I810" s="458"/>
      <c r="J810" s="458"/>
      <c r="K810" s="458"/>
      <c r="L810" s="458"/>
      <c r="M810" s="458"/>
      <c r="N810" s="458"/>
      <c r="O810" s="458"/>
      <c r="P810" s="458"/>
      <c r="Q810" s="458"/>
      <c r="R810" s="458"/>
      <c r="S810" s="458"/>
      <c r="T810" s="458"/>
      <c r="U810" s="458"/>
      <c r="V810" s="458"/>
      <c r="W810" s="458"/>
    </row>
    <row r="811" spans="1:23" ht="15.75" customHeight="1">
      <c r="A811" s="458"/>
      <c r="B811" s="458"/>
      <c r="C811" s="458"/>
      <c r="D811" s="458"/>
      <c r="E811" s="458"/>
      <c r="F811" s="458"/>
      <c r="G811" s="458"/>
      <c r="H811" s="458"/>
      <c r="I811" s="458"/>
      <c r="J811" s="458"/>
      <c r="K811" s="458"/>
      <c r="L811" s="458"/>
      <c r="M811" s="458"/>
      <c r="N811" s="458"/>
      <c r="O811" s="458"/>
      <c r="P811" s="458"/>
      <c r="Q811" s="458"/>
      <c r="R811" s="458"/>
      <c r="S811" s="458"/>
      <c r="T811" s="458"/>
      <c r="U811" s="458"/>
      <c r="V811" s="458"/>
      <c r="W811" s="458"/>
    </row>
    <row r="812" spans="1:23" ht="15.75" customHeight="1">
      <c r="A812" s="458"/>
      <c r="B812" s="458"/>
      <c r="C812" s="458"/>
      <c r="D812" s="458"/>
      <c r="E812" s="458"/>
      <c r="F812" s="458"/>
      <c r="G812" s="458"/>
      <c r="H812" s="458"/>
      <c r="I812" s="458"/>
      <c r="J812" s="458"/>
      <c r="K812" s="458"/>
      <c r="L812" s="458"/>
      <c r="M812" s="458"/>
      <c r="N812" s="458"/>
      <c r="O812" s="458"/>
      <c r="P812" s="458"/>
      <c r="Q812" s="458"/>
      <c r="R812" s="458"/>
      <c r="S812" s="458"/>
      <c r="T812" s="458"/>
      <c r="U812" s="458"/>
      <c r="V812" s="458"/>
      <c r="W812" s="458"/>
    </row>
    <row r="813" spans="1:23" ht="15.75" customHeight="1">
      <c r="A813" s="458"/>
      <c r="B813" s="458"/>
      <c r="C813" s="458"/>
      <c r="D813" s="458"/>
      <c r="E813" s="458"/>
      <c r="F813" s="458"/>
      <c r="G813" s="458"/>
      <c r="H813" s="458"/>
      <c r="I813" s="458"/>
      <c r="J813" s="458"/>
      <c r="K813" s="458"/>
      <c r="L813" s="458"/>
      <c r="M813" s="458"/>
      <c r="N813" s="458"/>
      <c r="O813" s="458"/>
      <c r="P813" s="458"/>
      <c r="Q813" s="458"/>
      <c r="R813" s="458"/>
      <c r="S813" s="458"/>
      <c r="T813" s="458"/>
      <c r="U813" s="458"/>
      <c r="V813" s="458"/>
      <c r="W813" s="458"/>
    </row>
    <row r="814" spans="1:23" ht="15.75" customHeight="1">
      <c r="A814" s="458"/>
      <c r="B814" s="458"/>
      <c r="C814" s="458"/>
      <c r="D814" s="458"/>
      <c r="E814" s="458"/>
      <c r="F814" s="458"/>
      <c r="G814" s="458"/>
      <c r="H814" s="458"/>
      <c r="I814" s="458"/>
      <c r="J814" s="458"/>
      <c r="K814" s="458"/>
      <c r="L814" s="458"/>
      <c r="M814" s="458"/>
      <c r="N814" s="458"/>
      <c r="O814" s="458"/>
      <c r="P814" s="458"/>
      <c r="Q814" s="458"/>
      <c r="R814" s="458"/>
      <c r="S814" s="458"/>
      <c r="T814" s="458"/>
      <c r="U814" s="458"/>
      <c r="V814" s="458"/>
      <c r="W814" s="458"/>
    </row>
    <row r="815" spans="1:23" ht="15.75" customHeight="1">
      <c r="A815" s="458"/>
      <c r="B815" s="458"/>
      <c r="C815" s="458"/>
      <c r="D815" s="458"/>
      <c r="E815" s="458"/>
      <c r="F815" s="458"/>
      <c r="G815" s="458"/>
      <c r="H815" s="458"/>
      <c r="I815" s="458"/>
      <c r="J815" s="458"/>
      <c r="K815" s="458"/>
      <c r="L815" s="458"/>
      <c r="M815" s="458"/>
      <c r="N815" s="458"/>
      <c r="O815" s="458"/>
      <c r="P815" s="458"/>
      <c r="Q815" s="458"/>
      <c r="R815" s="458"/>
      <c r="S815" s="458"/>
      <c r="T815" s="458"/>
      <c r="U815" s="458"/>
      <c r="V815" s="458"/>
      <c r="W815" s="458"/>
    </row>
    <row r="816" spans="1:23" ht="15.75" customHeight="1">
      <c r="A816" s="458"/>
      <c r="B816" s="458"/>
      <c r="C816" s="458"/>
      <c r="D816" s="458"/>
      <c r="E816" s="458"/>
      <c r="F816" s="458"/>
      <c r="G816" s="458"/>
      <c r="H816" s="458"/>
      <c r="I816" s="458"/>
      <c r="J816" s="458"/>
      <c r="K816" s="458"/>
      <c r="L816" s="458"/>
      <c r="M816" s="458"/>
      <c r="N816" s="458"/>
      <c r="O816" s="458"/>
      <c r="P816" s="458"/>
      <c r="Q816" s="458"/>
      <c r="R816" s="458"/>
      <c r="S816" s="458"/>
      <c r="T816" s="458"/>
      <c r="U816" s="458"/>
      <c r="V816" s="458"/>
      <c r="W816" s="458"/>
    </row>
    <row r="817" spans="1:23" ht="15.75" customHeight="1">
      <c r="A817" s="458"/>
      <c r="B817" s="458"/>
      <c r="C817" s="458"/>
      <c r="D817" s="458"/>
      <c r="E817" s="458"/>
      <c r="F817" s="458"/>
      <c r="G817" s="458"/>
      <c r="H817" s="458"/>
      <c r="I817" s="458"/>
      <c r="J817" s="458"/>
      <c r="K817" s="458"/>
      <c r="L817" s="458"/>
      <c r="M817" s="458"/>
      <c r="N817" s="458"/>
      <c r="O817" s="458"/>
      <c r="P817" s="458"/>
      <c r="Q817" s="458"/>
      <c r="R817" s="458"/>
      <c r="S817" s="458"/>
      <c r="T817" s="458"/>
      <c r="U817" s="458"/>
      <c r="V817" s="458"/>
      <c r="W817" s="458"/>
    </row>
    <row r="818" spans="1:23" ht="15.75" customHeight="1">
      <c r="A818" s="458"/>
      <c r="B818" s="458"/>
      <c r="C818" s="458"/>
      <c r="D818" s="458"/>
      <c r="E818" s="458"/>
      <c r="F818" s="458"/>
      <c r="G818" s="458"/>
      <c r="H818" s="458"/>
      <c r="I818" s="458"/>
      <c r="J818" s="458"/>
      <c r="K818" s="458"/>
      <c r="L818" s="458"/>
      <c r="M818" s="458"/>
      <c r="N818" s="458"/>
      <c r="O818" s="458"/>
      <c r="P818" s="458"/>
      <c r="Q818" s="458"/>
      <c r="R818" s="458"/>
      <c r="S818" s="458"/>
      <c r="T818" s="458"/>
      <c r="U818" s="458"/>
      <c r="V818" s="458"/>
      <c r="W818" s="458"/>
    </row>
    <row r="819" spans="1:23" ht="15.75" customHeight="1">
      <c r="A819" s="458"/>
      <c r="B819" s="458"/>
      <c r="C819" s="458"/>
      <c r="D819" s="458"/>
      <c r="E819" s="458"/>
      <c r="F819" s="458"/>
      <c r="G819" s="458"/>
      <c r="H819" s="458"/>
      <c r="I819" s="458"/>
      <c r="J819" s="458"/>
      <c r="K819" s="458"/>
      <c r="L819" s="458"/>
      <c r="M819" s="458"/>
      <c r="N819" s="458"/>
      <c r="O819" s="458"/>
      <c r="P819" s="458"/>
      <c r="Q819" s="458"/>
      <c r="R819" s="458"/>
      <c r="S819" s="458"/>
      <c r="T819" s="458"/>
      <c r="U819" s="458"/>
      <c r="V819" s="458"/>
      <c r="W819" s="458"/>
    </row>
    <row r="820" spans="1:23" ht="15.75" customHeight="1">
      <c r="A820" s="458"/>
      <c r="B820" s="458"/>
      <c r="C820" s="458"/>
      <c r="D820" s="458"/>
      <c r="E820" s="458"/>
      <c r="F820" s="458"/>
      <c r="G820" s="458"/>
      <c r="H820" s="458"/>
      <c r="I820" s="458"/>
      <c r="J820" s="458"/>
      <c r="K820" s="458"/>
      <c r="L820" s="458"/>
      <c r="M820" s="458"/>
      <c r="N820" s="458"/>
      <c r="O820" s="458"/>
      <c r="P820" s="458"/>
      <c r="Q820" s="458"/>
      <c r="R820" s="458"/>
      <c r="S820" s="458"/>
      <c r="T820" s="458"/>
      <c r="U820" s="458"/>
      <c r="V820" s="458"/>
      <c r="W820" s="458"/>
    </row>
    <row r="821" spans="1:23" ht="15.75" customHeight="1">
      <c r="A821" s="458"/>
      <c r="B821" s="458"/>
      <c r="C821" s="458"/>
      <c r="D821" s="458"/>
      <c r="E821" s="458"/>
      <c r="F821" s="458"/>
      <c r="G821" s="458"/>
      <c r="H821" s="458"/>
      <c r="I821" s="458"/>
      <c r="J821" s="458"/>
      <c r="K821" s="458"/>
      <c r="L821" s="458"/>
      <c r="M821" s="458"/>
      <c r="N821" s="458"/>
      <c r="O821" s="458"/>
      <c r="P821" s="458"/>
      <c r="Q821" s="458"/>
      <c r="R821" s="458"/>
      <c r="S821" s="458"/>
      <c r="T821" s="458"/>
      <c r="U821" s="458"/>
      <c r="V821" s="458"/>
      <c r="W821" s="458"/>
    </row>
    <row r="822" spans="1:23" ht="15.75" customHeight="1">
      <c r="A822" s="458"/>
      <c r="B822" s="458"/>
      <c r="C822" s="458"/>
      <c r="D822" s="458"/>
      <c r="E822" s="458"/>
      <c r="F822" s="458"/>
      <c r="G822" s="458"/>
      <c r="H822" s="458"/>
      <c r="I822" s="458"/>
      <c r="J822" s="458"/>
      <c r="K822" s="458"/>
      <c r="L822" s="458"/>
      <c r="M822" s="458"/>
      <c r="N822" s="458"/>
      <c r="O822" s="458"/>
      <c r="P822" s="458"/>
      <c r="Q822" s="458"/>
      <c r="R822" s="458"/>
      <c r="S822" s="458"/>
      <c r="T822" s="458"/>
      <c r="U822" s="458"/>
      <c r="V822" s="458"/>
      <c r="W822" s="458"/>
    </row>
    <row r="823" spans="1:23" ht="15.75" customHeight="1">
      <c r="A823" s="458"/>
      <c r="B823" s="458"/>
      <c r="C823" s="458"/>
      <c r="D823" s="458"/>
      <c r="E823" s="458"/>
      <c r="F823" s="458"/>
      <c r="G823" s="458"/>
      <c r="H823" s="458"/>
      <c r="I823" s="458"/>
      <c r="J823" s="458"/>
      <c r="K823" s="458"/>
      <c r="L823" s="458"/>
      <c r="M823" s="458"/>
      <c r="N823" s="458"/>
      <c r="O823" s="458"/>
      <c r="P823" s="458"/>
      <c r="Q823" s="458"/>
      <c r="R823" s="458"/>
      <c r="S823" s="458"/>
      <c r="T823" s="458"/>
      <c r="U823" s="458"/>
      <c r="V823" s="458"/>
      <c r="W823" s="458"/>
    </row>
    <row r="824" spans="1:23" ht="15.75" customHeight="1">
      <c r="A824" s="458"/>
      <c r="B824" s="458"/>
      <c r="C824" s="458"/>
      <c r="D824" s="458"/>
      <c r="E824" s="458"/>
      <c r="F824" s="458"/>
      <c r="G824" s="458"/>
      <c r="H824" s="458"/>
      <c r="I824" s="458"/>
      <c r="J824" s="458"/>
      <c r="K824" s="458"/>
      <c r="L824" s="458"/>
      <c r="M824" s="458"/>
      <c r="N824" s="458"/>
      <c r="O824" s="458"/>
      <c r="P824" s="458"/>
      <c r="Q824" s="458"/>
      <c r="R824" s="458"/>
      <c r="S824" s="458"/>
      <c r="T824" s="458"/>
      <c r="U824" s="458"/>
      <c r="V824" s="458"/>
      <c r="W824" s="458"/>
    </row>
    <row r="825" spans="1:23" ht="15.75" customHeight="1">
      <c r="A825" s="458"/>
      <c r="B825" s="458"/>
      <c r="C825" s="458"/>
      <c r="D825" s="458"/>
      <c r="E825" s="458"/>
      <c r="F825" s="458"/>
      <c r="G825" s="458"/>
      <c r="H825" s="458"/>
      <c r="I825" s="458"/>
      <c r="J825" s="458"/>
      <c r="K825" s="458"/>
      <c r="L825" s="458"/>
      <c r="M825" s="458"/>
      <c r="N825" s="458"/>
      <c r="O825" s="458"/>
      <c r="P825" s="458"/>
      <c r="Q825" s="458"/>
      <c r="R825" s="458"/>
      <c r="S825" s="458"/>
      <c r="T825" s="458"/>
      <c r="U825" s="458"/>
      <c r="V825" s="458"/>
      <c r="W825" s="458"/>
    </row>
    <row r="826" spans="1:23" ht="15.75" customHeight="1">
      <c r="A826" s="458"/>
      <c r="B826" s="458"/>
      <c r="C826" s="458"/>
      <c r="D826" s="458"/>
      <c r="E826" s="458"/>
      <c r="F826" s="458"/>
      <c r="G826" s="458"/>
      <c r="H826" s="458"/>
      <c r="I826" s="458"/>
      <c r="J826" s="458"/>
      <c r="K826" s="458"/>
      <c r="L826" s="458"/>
      <c r="M826" s="458"/>
      <c r="N826" s="458"/>
      <c r="O826" s="458"/>
      <c r="P826" s="458"/>
      <c r="Q826" s="458"/>
      <c r="R826" s="458"/>
      <c r="S826" s="458"/>
      <c r="T826" s="458"/>
      <c r="U826" s="458"/>
      <c r="V826" s="458"/>
      <c r="W826" s="458"/>
    </row>
    <row r="827" spans="1:23" ht="15.75" customHeight="1">
      <c r="A827" s="458"/>
      <c r="B827" s="458"/>
      <c r="C827" s="458"/>
      <c r="D827" s="458"/>
      <c r="E827" s="458"/>
      <c r="F827" s="458"/>
      <c r="G827" s="458"/>
      <c r="H827" s="458"/>
      <c r="I827" s="458"/>
      <c r="J827" s="458"/>
      <c r="K827" s="458"/>
      <c r="L827" s="458"/>
      <c r="M827" s="458"/>
      <c r="N827" s="458"/>
      <c r="O827" s="458"/>
      <c r="P827" s="458"/>
      <c r="Q827" s="458"/>
      <c r="R827" s="458"/>
      <c r="S827" s="458"/>
      <c r="T827" s="458"/>
      <c r="U827" s="458"/>
      <c r="V827" s="458"/>
      <c r="W827" s="458"/>
    </row>
    <row r="828" spans="1:23" ht="15.75" customHeight="1">
      <c r="A828" s="458"/>
      <c r="B828" s="458"/>
      <c r="C828" s="458"/>
      <c r="D828" s="458"/>
      <c r="E828" s="458"/>
      <c r="F828" s="458"/>
      <c r="G828" s="458"/>
      <c r="H828" s="458"/>
      <c r="I828" s="458"/>
      <c r="J828" s="458"/>
      <c r="K828" s="458"/>
      <c r="L828" s="458"/>
      <c r="M828" s="458"/>
      <c r="N828" s="458"/>
      <c r="O828" s="458"/>
      <c r="P828" s="458"/>
      <c r="Q828" s="458"/>
      <c r="R828" s="458"/>
      <c r="S828" s="458"/>
      <c r="T828" s="458"/>
      <c r="U828" s="458"/>
      <c r="V828" s="458"/>
      <c r="W828" s="458"/>
    </row>
    <row r="829" spans="1:23" ht="15.75" customHeight="1">
      <c r="A829" s="458"/>
      <c r="B829" s="458"/>
      <c r="C829" s="458"/>
      <c r="D829" s="458"/>
      <c r="E829" s="458"/>
      <c r="F829" s="458"/>
      <c r="G829" s="458"/>
      <c r="H829" s="458"/>
      <c r="I829" s="458"/>
      <c r="J829" s="458"/>
      <c r="K829" s="458"/>
      <c r="L829" s="458"/>
      <c r="M829" s="458"/>
      <c r="N829" s="458"/>
      <c r="O829" s="458"/>
      <c r="P829" s="458"/>
      <c r="Q829" s="458"/>
      <c r="R829" s="458"/>
      <c r="S829" s="458"/>
      <c r="T829" s="458"/>
      <c r="U829" s="458"/>
      <c r="V829" s="458"/>
      <c r="W829" s="458"/>
    </row>
    <row r="830" spans="1:23" ht="15.75" customHeight="1">
      <c r="A830" s="458"/>
      <c r="B830" s="458"/>
      <c r="C830" s="458"/>
      <c r="D830" s="458"/>
      <c r="E830" s="458"/>
      <c r="F830" s="458"/>
      <c r="G830" s="458"/>
      <c r="H830" s="458"/>
      <c r="I830" s="458"/>
      <c r="J830" s="458"/>
      <c r="K830" s="458"/>
      <c r="L830" s="458"/>
      <c r="M830" s="458"/>
      <c r="N830" s="458"/>
      <c r="O830" s="458"/>
      <c r="P830" s="458"/>
      <c r="Q830" s="458"/>
      <c r="R830" s="458"/>
      <c r="S830" s="458"/>
      <c r="T830" s="458"/>
      <c r="U830" s="458"/>
      <c r="V830" s="458"/>
      <c r="W830" s="458"/>
    </row>
    <row r="831" spans="1:23" ht="15.75" customHeight="1">
      <c r="A831" s="458"/>
      <c r="B831" s="458"/>
      <c r="C831" s="458"/>
      <c r="D831" s="458"/>
      <c r="E831" s="458"/>
      <c r="F831" s="458"/>
      <c r="G831" s="458"/>
      <c r="H831" s="458"/>
      <c r="I831" s="458"/>
      <c r="J831" s="458"/>
      <c r="K831" s="458"/>
      <c r="L831" s="458"/>
      <c r="M831" s="458"/>
      <c r="N831" s="458"/>
      <c r="O831" s="458"/>
      <c r="P831" s="458"/>
      <c r="Q831" s="458"/>
      <c r="R831" s="458"/>
      <c r="S831" s="458"/>
      <c r="T831" s="458"/>
      <c r="U831" s="458"/>
      <c r="V831" s="458"/>
      <c r="W831" s="458"/>
    </row>
    <row r="832" spans="1:23" ht="15.75" customHeight="1">
      <c r="A832" s="458"/>
      <c r="B832" s="458"/>
      <c r="C832" s="458"/>
      <c r="D832" s="458"/>
      <c r="E832" s="458"/>
      <c r="F832" s="458"/>
      <c r="G832" s="458"/>
      <c r="H832" s="458"/>
      <c r="I832" s="458"/>
      <c r="J832" s="458"/>
      <c r="K832" s="458"/>
      <c r="L832" s="458"/>
      <c r="M832" s="458"/>
      <c r="N832" s="458"/>
      <c r="O832" s="458"/>
      <c r="P832" s="458"/>
      <c r="Q832" s="458"/>
      <c r="R832" s="458"/>
      <c r="S832" s="458"/>
      <c r="T832" s="458"/>
      <c r="U832" s="458"/>
      <c r="V832" s="458"/>
      <c r="W832" s="458"/>
    </row>
    <row r="833" spans="1:23" ht="15.75" customHeight="1">
      <c r="A833" s="458"/>
      <c r="B833" s="458"/>
      <c r="C833" s="458"/>
      <c r="D833" s="458"/>
      <c r="E833" s="458"/>
      <c r="F833" s="458"/>
      <c r="G833" s="458"/>
      <c r="H833" s="458"/>
      <c r="I833" s="458"/>
      <c r="J833" s="458"/>
      <c r="K833" s="458"/>
      <c r="L833" s="458"/>
      <c r="M833" s="458"/>
      <c r="N833" s="458"/>
      <c r="O833" s="458"/>
      <c r="P833" s="458"/>
      <c r="Q833" s="458"/>
      <c r="R833" s="458"/>
      <c r="S833" s="458"/>
      <c r="T833" s="458"/>
      <c r="U833" s="458"/>
      <c r="V833" s="458"/>
      <c r="W833" s="458"/>
    </row>
    <row r="834" spans="1:23" ht="15.75" customHeight="1">
      <c r="A834" s="458"/>
      <c r="B834" s="458"/>
      <c r="C834" s="458"/>
      <c r="D834" s="458"/>
      <c r="E834" s="458"/>
      <c r="F834" s="458"/>
      <c r="G834" s="458"/>
      <c r="H834" s="458"/>
      <c r="I834" s="458"/>
      <c r="J834" s="458"/>
      <c r="K834" s="458"/>
      <c r="L834" s="458"/>
      <c r="M834" s="458"/>
      <c r="N834" s="458"/>
      <c r="O834" s="458"/>
      <c r="P834" s="458"/>
      <c r="Q834" s="458"/>
      <c r="R834" s="458"/>
      <c r="S834" s="458"/>
      <c r="T834" s="458"/>
      <c r="U834" s="458"/>
      <c r="V834" s="458"/>
      <c r="W834" s="458"/>
    </row>
    <row r="835" spans="1:23" ht="15.75" customHeight="1">
      <c r="A835" s="458"/>
      <c r="B835" s="458"/>
      <c r="C835" s="458"/>
      <c r="D835" s="458"/>
      <c r="E835" s="458"/>
      <c r="F835" s="458"/>
      <c r="G835" s="458"/>
      <c r="H835" s="458"/>
      <c r="I835" s="458"/>
      <c r="J835" s="458"/>
      <c r="K835" s="458"/>
      <c r="L835" s="458"/>
      <c r="M835" s="458"/>
      <c r="N835" s="458"/>
      <c r="O835" s="458"/>
      <c r="P835" s="458"/>
      <c r="Q835" s="458"/>
      <c r="R835" s="458"/>
      <c r="S835" s="458"/>
      <c r="T835" s="458"/>
      <c r="U835" s="458"/>
      <c r="V835" s="458"/>
      <c r="W835" s="458"/>
    </row>
    <row r="836" spans="1:23" ht="15.75" customHeight="1">
      <c r="A836" s="458"/>
      <c r="B836" s="458"/>
      <c r="C836" s="458"/>
      <c r="D836" s="458"/>
      <c r="E836" s="458"/>
      <c r="F836" s="458"/>
      <c r="G836" s="458"/>
      <c r="H836" s="458"/>
      <c r="I836" s="458"/>
      <c r="J836" s="458"/>
      <c r="K836" s="458"/>
      <c r="L836" s="458"/>
      <c r="M836" s="458"/>
      <c r="N836" s="458"/>
      <c r="O836" s="458"/>
      <c r="P836" s="458"/>
      <c r="Q836" s="458"/>
      <c r="R836" s="458"/>
      <c r="S836" s="458"/>
      <c r="T836" s="458"/>
      <c r="U836" s="458"/>
      <c r="V836" s="458"/>
      <c r="W836" s="458"/>
    </row>
    <row r="837" spans="1:23" ht="15.75" customHeight="1">
      <c r="A837" s="458"/>
      <c r="B837" s="458"/>
      <c r="C837" s="458"/>
      <c r="D837" s="458"/>
      <c r="E837" s="458"/>
      <c r="F837" s="458"/>
      <c r="G837" s="458"/>
      <c r="H837" s="458"/>
      <c r="I837" s="458"/>
      <c r="J837" s="458"/>
      <c r="K837" s="458"/>
      <c r="L837" s="458"/>
      <c r="M837" s="458"/>
      <c r="N837" s="458"/>
      <c r="O837" s="458"/>
      <c r="P837" s="458"/>
      <c r="Q837" s="458"/>
      <c r="R837" s="458"/>
      <c r="S837" s="458"/>
      <c r="T837" s="458"/>
      <c r="U837" s="458"/>
      <c r="V837" s="458"/>
      <c r="W837" s="458"/>
    </row>
    <row r="838" spans="1:23" ht="15.75" customHeight="1">
      <c r="A838" s="458"/>
      <c r="B838" s="458"/>
      <c r="C838" s="458"/>
      <c r="D838" s="458"/>
      <c r="E838" s="458"/>
      <c r="F838" s="458"/>
      <c r="G838" s="458"/>
      <c r="H838" s="458"/>
      <c r="I838" s="458"/>
      <c r="J838" s="458"/>
      <c r="K838" s="458"/>
      <c r="L838" s="458"/>
      <c r="M838" s="458"/>
      <c r="N838" s="458"/>
      <c r="O838" s="458"/>
      <c r="P838" s="458"/>
      <c r="Q838" s="458"/>
      <c r="R838" s="458"/>
      <c r="S838" s="458"/>
      <c r="T838" s="458"/>
      <c r="U838" s="458"/>
      <c r="V838" s="458"/>
      <c r="W838" s="458"/>
    </row>
    <row r="839" spans="1:23" ht="15.75" customHeight="1">
      <c r="A839" s="458"/>
      <c r="B839" s="458"/>
      <c r="C839" s="458"/>
      <c r="D839" s="458"/>
      <c r="E839" s="458"/>
      <c r="F839" s="458"/>
      <c r="G839" s="458"/>
      <c r="H839" s="458"/>
      <c r="I839" s="458"/>
      <c r="J839" s="458"/>
      <c r="K839" s="458"/>
      <c r="L839" s="458"/>
      <c r="M839" s="458"/>
      <c r="N839" s="458"/>
      <c r="O839" s="458"/>
      <c r="P839" s="458"/>
      <c r="Q839" s="458"/>
      <c r="R839" s="458"/>
      <c r="S839" s="458"/>
      <c r="T839" s="458"/>
      <c r="U839" s="458"/>
      <c r="V839" s="458"/>
      <c r="W839" s="458"/>
    </row>
    <row r="840" spans="1:23" ht="15.75" customHeight="1">
      <c r="A840" s="458"/>
      <c r="B840" s="458"/>
      <c r="C840" s="458"/>
      <c r="D840" s="458"/>
      <c r="E840" s="458"/>
      <c r="F840" s="458"/>
      <c r="G840" s="458"/>
      <c r="H840" s="458"/>
      <c r="I840" s="458"/>
      <c r="J840" s="458"/>
      <c r="K840" s="458"/>
      <c r="L840" s="458"/>
      <c r="M840" s="458"/>
      <c r="N840" s="458"/>
      <c r="O840" s="458"/>
      <c r="P840" s="458"/>
      <c r="Q840" s="458"/>
      <c r="R840" s="458"/>
      <c r="S840" s="458"/>
      <c r="T840" s="458"/>
      <c r="U840" s="458"/>
      <c r="V840" s="458"/>
      <c r="W840" s="458"/>
    </row>
    <row r="841" spans="1:23" ht="15.75" customHeight="1">
      <c r="A841" s="458"/>
      <c r="B841" s="458"/>
      <c r="C841" s="458"/>
      <c r="D841" s="458"/>
      <c r="E841" s="458"/>
      <c r="F841" s="458"/>
      <c r="G841" s="458"/>
      <c r="H841" s="458"/>
      <c r="I841" s="458"/>
      <c r="J841" s="458"/>
      <c r="K841" s="458"/>
      <c r="L841" s="458"/>
      <c r="M841" s="458"/>
      <c r="N841" s="458"/>
      <c r="O841" s="458"/>
      <c r="P841" s="458"/>
      <c r="Q841" s="458"/>
      <c r="R841" s="458"/>
      <c r="S841" s="458"/>
      <c r="T841" s="458"/>
      <c r="U841" s="458"/>
      <c r="V841" s="458"/>
      <c r="W841" s="458"/>
    </row>
    <row r="842" spans="1:23" ht="15.75" customHeight="1">
      <c r="A842" s="458"/>
      <c r="B842" s="458"/>
      <c r="C842" s="458"/>
      <c r="D842" s="458"/>
      <c r="E842" s="458"/>
      <c r="F842" s="458"/>
      <c r="G842" s="458"/>
      <c r="H842" s="458"/>
      <c r="I842" s="458"/>
      <c r="J842" s="458"/>
      <c r="K842" s="458"/>
      <c r="L842" s="458"/>
      <c r="M842" s="458"/>
      <c r="N842" s="458"/>
      <c r="O842" s="458"/>
      <c r="P842" s="458"/>
      <c r="Q842" s="458"/>
      <c r="R842" s="458"/>
      <c r="S842" s="458"/>
      <c r="T842" s="458"/>
      <c r="U842" s="458"/>
      <c r="V842" s="458"/>
      <c r="W842" s="458"/>
    </row>
    <row r="843" spans="1:23" ht="15.75" customHeight="1">
      <c r="A843" s="458"/>
      <c r="B843" s="458"/>
      <c r="C843" s="458"/>
      <c r="D843" s="458"/>
      <c r="E843" s="458"/>
      <c r="F843" s="458"/>
      <c r="G843" s="458"/>
      <c r="H843" s="458"/>
      <c r="I843" s="458"/>
      <c r="J843" s="458"/>
      <c r="K843" s="458"/>
      <c r="L843" s="458"/>
      <c r="M843" s="458"/>
      <c r="N843" s="458"/>
      <c r="O843" s="458"/>
      <c r="P843" s="458"/>
      <c r="Q843" s="458"/>
      <c r="R843" s="458"/>
      <c r="S843" s="458"/>
      <c r="T843" s="458"/>
      <c r="U843" s="458"/>
      <c r="V843" s="458"/>
      <c r="W843" s="458"/>
    </row>
    <row r="844" spans="1:23" ht="15.75" customHeight="1">
      <c r="A844" s="458"/>
      <c r="B844" s="458"/>
      <c r="C844" s="458"/>
      <c r="D844" s="458"/>
      <c r="E844" s="458"/>
      <c r="F844" s="458"/>
      <c r="G844" s="458"/>
      <c r="H844" s="458"/>
      <c r="I844" s="458"/>
      <c r="J844" s="458"/>
      <c r="K844" s="458"/>
      <c r="L844" s="458"/>
      <c r="M844" s="458"/>
      <c r="N844" s="458"/>
      <c r="O844" s="458"/>
      <c r="P844" s="458"/>
      <c r="Q844" s="458"/>
      <c r="R844" s="458"/>
      <c r="S844" s="458"/>
      <c r="T844" s="458"/>
      <c r="U844" s="458"/>
      <c r="V844" s="458"/>
      <c r="W844" s="458"/>
    </row>
    <row r="845" spans="1:23" ht="15.75" customHeight="1">
      <c r="A845" s="458"/>
      <c r="B845" s="458"/>
      <c r="C845" s="458"/>
      <c r="D845" s="458"/>
      <c r="E845" s="458"/>
      <c r="F845" s="458"/>
      <c r="G845" s="458"/>
      <c r="H845" s="458"/>
      <c r="I845" s="458"/>
      <c r="J845" s="458"/>
      <c r="K845" s="458"/>
      <c r="L845" s="458"/>
      <c r="M845" s="458"/>
      <c r="N845" s="458"/>
      <c r="O845" s="458"/>
      <c r="P845" s="458"/>
      <c r="Q845" s="458"/>
      <c r="R845" s="458"/>
      <c r="S845" s="458"/>
      <c r="T845" s="458"/>
      <c r="U845" s="458"/>
      <c r="V845" s="458"/>
      <c r="W845" s="458"/>
    </row>
    <row r="846" spans="1:23" ht="15.75" customHeight="1">
      <c r="A846" s="458"/>
      <c r="B846" s="458"/>
      <c r="C846" s="458"/>
      <c r="D846" s="458"/>
      <c r="E846" s="458"/>
      <c r="F846" s="458"/>
      <c r="G846" s="458"/>
      <c r="H846" s="458"/>
      <c r="I846" s="458"/>
      <c r="J846" s="458"/>
      <c r="K846" s="458"/>
      <c r="L846" s="458"/>
      <c r="M846" s="458"/>
      <c r="N846" s="458"/>
      <c r="O846" s="458"/>
      <c r="P846" s="458"/>
      <c r="Q846" s="458"/>
      <c r="R846" s="458"/>
      <c r="S846" s="458"/>
      <c r="T846" s="458"/>
      <c r="U846" s="458"/>
      <c r="V846" s="458"/>
      <c r="W846" s="458"/>
    </row>
    <row r="847" spans="1:23" ht="15.75" customHeight="1">
      <c r="A847" s="458"/>
      <c r="B847" s="458"/>
      <c r="C847" s="458"/>
      <c r="D847" s="458"/>
      <c r="E847" s="458"/>
      <c r="F847" s="458"/>
      <c r="G847" s="458"/>
      <c r="H847" s="458"/>
      <c r="I847" s="458"/>
      <c r="J847" s="458"/>
      <c r="K847" s="458"/>
      <c r="L847" s="458"/>
      <c r="M847" s="458"/>
      <c r="N847" s="458"/>
      <c r="O847" s="458"/>
      <c r="P847" s="458"/>
      <c r="Q847" s="458"/>
      <c r="R847" s="458"/>
      <c r="S847" s="458"/>
      <c r="T847" s="458"/>
      <c r="U847" s="458"/>
      <c r="V847" s="458"/>
      <c r="W847" s="458"/>
    </row>
    <row r="848" spans="1:23" ht="15.75" customHeight="1">
      <c r="A848" s="458"/>
      <c r="B848" s="458"/>
      <c r="C848" s="458"/>
      <c r="D848" s="458"/>
      <c r="E848" s="458"/>
      <c r="F848" s="458"/>
      <c r="G848" s="458"/>
      <c r="H848" s="458"/>
      <c r="I848" s="458"/>
      <c r="J848" s="458"/>
      <c r="K848" s="458"/>
      <c r="L848" s="458"/>
      <c r="M848" s="458"/>
      <c r="N848" s="458"/>
      <c r="O848" s="458"/>
      <c r="P848" s="458"/>
      <c r="Q848" s="458"/>
      <c r="R848" s="458"/>
      <c r="S848" s="458"/>
      <c r="T848" s="458"/>
      <c r="U848" s="458"/>
      <c r="V848" s="458"/>
      <c r="W848" s="458"/>
    </row>
    <row r="849" spans="1:23" ht="15.75" customHeight="1">
      <c r="A849" s="458"/>
      <c r="B849" s="458"/>
      <c r="C849" s="458"/>
      <c r="D849" s="458"/>
      <c r="E849" s="458"/>
      <c r="F849" s="458"/>
      <c r="G849" s="458"/>
      <c r="H849" s="458"/>
      <c r="I849" s="458"/>
      <c r="J849" s="458"/>
      <c r="K849" s="458"/>
      <c r="L849" s="458"/>
      <c r="M849" s="458"/>
      <c r="N849" s="458"/>
      <c r="O849" s="458"/>
      <c r="P849" s="458"/>
      <c r="Q849" s="458"/>
      <c r="R849" s="458"/>
      <c r="S849" s="458"/>
      <c r="T849" s="458"/>
      <c r="U849" s="458"/>
      <c r="V849" s="458"/>
      <c r="W849" s="458"/>
    </row>
    <row r="850" spans="1:23" ht="15.75" customHeight="1">
      <c r="A850" s="458"/>
      <c r="B850" s="458"/>
      <c r="C850" s="458"/>
      <c r="D850" s="458"/>
      <c r="E850" s="458"/>
      <c r="F850" s="458"/>
      <c r="G850" s="458"/>
      <c r="H850" s="458"/>
      <c r="I850" s="458"/>
      <c r="J850" s="458"/>
      <c r="K850" s="458"/>
      <c r="L850" s="458"/>
      <c r="M850" s="458"/>
      <c r="N850" s="458"/>
      <c r="O850" s="458"/>
      <c r="P850" s="458"/>
      <c r="Q850" s="458"/>
      <c r="R850" s="458"/>
      <c r="S850" s="458"/>
      <c r="T850" s="458"/>
      <c r="U850" s="458"/>
      <c r="V850" s="458"/>
      <c r="W850" s="458"/>
    </row>
    <row r="851" spans="1:23" ht="15.75" customHeight="1">
      <c r="A851" s="458"/>
      <c r="B851" s="458"/>
      <c r="C851" s="458"/>
      <c r="D851" s="458"/>
      <c r="E851" s="458"/>
      <c r="F851" s="458"/>
      <c r="G851" s="458"/>
      <c r="H851" s="458"/>
      <c r="I851" s="458"/>
      <c r="J851" s="458"/>
      <c r="K851" s="458"/>
      <c r="L851" s="458"/>
      <c r="M851" s="458"/>
      <c r="N851" s="458"/>
      <c r="O851" s="458"/>
      <c r="P851" s="458"/>
      <c r="Q851" s="458"/>
      <c r="R851" s="458"/>
      <c r="S851" s="458"/>
      <c r="T851" s="458"/>
      <c r="U851" s="458"/>
      <c r="V851" s="458"/>
      <c r="W851" s="458"/>
    </row>
    <row r="852" spans="1:23" ht="15.75" customHeight="1">
      <c r="A852" s="458"/>
      <c r="B852" s="458"/>
      <c r="C852" s="458"/>
      <c r="D852" s="458"/>
      <c r="E852" s="458"/>
      <c r="F852" s="458"/>
      <c r="G852" s="458"/>
      <c r="H852" s="458"/>
      <c r="I852" s="458"/>
      <c r="J852" s="458"/>
      <c r="K852" s="458"/>
      <c r="L852" s="458"/>
      <c r="M852" s="458"/>
      <c r="N852" s="458"/>
      <c r="O852" s="458"/>
      <c r="P852" s="458"/>
      <c r="Q852" s="458"/>
      <c r="R852" s="458"/>
      <c r="S852" s="458"/>
      <c r="T852" s="458"/>
      <c r="U852" s="458"/>
      <c r="V852" s="458"/>
      <c r="W852" s="458"/>
    </row>
    <row r="853" spans="1:23" ht="15.75" customHeight="1">
      <c r="A853" s="458"/>
      <c r="B853" s="458"/>
      <c r="C853" s="458"/>
      <c r="D853" s="458"/>
      <c r="E853" s="458"/>
      <c r="F853" s="458"/>
      <c r="G853" s="458"/>
      <c r="H853" s="458"/>
      <c r="I853" s="458"/>
      <c r="J853" s="458"/>
      <c r="K853" s="458"/>
      <c r="L853" s="458"/>
      <c r="M853" s="458"/>
      <c r="N853" s="458"/>
      <c r="O853" s="458"/>
      <c r="P853" s="458"/>
      <c r="Q853" s="458"/>
      <c r="R853" s="458"/>
      <c r="S853" s="458"/>
      <c r="T853" s="458"/>
      <c r="U853" s="458"/>
      <c r="V853" s="458"/>
      <c r="W853" s="458"/>
    </row>
    <row r="854" spans="1:23" ht="15.75" customHeight="1">
      <c r="A854" s="458"/>
      <c r="B854" s="458"/>
      <c r="C854" s="458"/>
      <c r="D854" s="458"/>
      <c r="E854" s="458"/>
      <c r="F854" s="458"/>
      <c r="G854" s="458"/>
      <c r="H854" s="458"/>
      <c r="I854" s="458"/>
      <c r="J854" s="458"/>
      <c r="K854" s="458"/>
      <c r="L854" s="458"/>
      <c r="M854" s="458"/>
      <c r="N854" s="458"/>
      <c r="O854" s="458"/>
      <c r="P854" s="458"/>
      <c r="Q854" s="458"/>
      <c r="R854" s="458"/>
      <c r="S854" s="458"/>
      <c r="T854" s="458"/>
      <c r="U854" s="458"/>
      <c r="V854" s="458"/>
      <c r="W854" s="458"/>
    </row>
    <row r="855" spans="1:23" ht="15.75" customHeight="1">
      <c r="A855" s="458"/>
      <c r="B855" s="458"/>
      <c r="C855" s="458"/>
      <c r="D855" s="458"/>
      <c r="E855" s="458"/>
      <c r="F855" s="458"/>
      <c r="G855" s="458"/>
      <c r="H855" s="458"/>
      <c r="I855" s="458"/>
      <c r="J855" s="458"/>
      <c r="K855" s="458"/>
      <c r="L855" s="458"/>
      <c r="M855" s="458"/>
      <c r="N855" s="458"/>
      <c r="O855" s="458"/>
      <c r="P855" s="458"/>
      <c r="Q855" s="458"/>
      <c r="R855" s="458"/>
      <c r="S855" s="458"/>
      <c r="T855" s="458"/>
      <c r="U855" s="458"/>
      <c r="V855" s="458"/>
      <c r="W855" s="458"/>
    </row>
    <row r="856" spans="1:23" ht="15.75" customHeight="1">
      <c r="A856" s="458"/>
      <c r="B856" s="458"/>
      <c r="C856" s="458"/>
      <c r="D856" s="458"/>
      <c r="E856" s="458"/>
      <c r="F856" s="458"/>
      <c r="G856" s="458"/>
      <c r="H856" s="458"/>
      <c r="I856" s="458"/>
      <c r="J856" s="458"/>
      <c r="K856" s="458"/>
      <c r="L856" s="458"/>
      <c r="M856" s="458"/>
      <c r="N856" s="458"/>
      <c r="O856" s="458"/>
      <c r="P856" s="458"/>
      <c r="Q856" s="458"/>
      <c r="R856" s="458"/>
      <c r="S856" s="458"/>
      <c r="T856" s="458"/>
      <c r="U856" s="458"/>
      <c r="V856" s="458"/>
      <c r="W856" s="458"/>
    </row>
    <row r="857" spans="1:23" ht="15.75" customHeight="1">
      <c r="A857" s="458"/>
      <c r="B857" s="458"/>
      <c r="C857" s="458"/>
      <c r="D857" s="458"/>
      <c r="E857" s="458"/>
      <c r="F857" s="458"/>
      <c r="G857" s="458"/>
      <c r="H857" s="458"/>
      <c r="I857" s="458"/>
      <c r="J857" s="458"/>
      <c r="K857" s="458"/>
      <c r="L857" s="458"/>
      <c r="M857" s="458"/>
      <c r="N857" s="458"/>
      <c r="O857" s="458"/>
      <c r="P857" s="458"/>
      <c r="Q857" s="458"/>
      <c r="R857" s="458"/>
      <c r="S857" s="458"/>
      <c r="T857" s="458"/>
      <c r="U857" s="458"/>
      <c r="V857" s="458"/>
      <c r="W857" s="458"/>
    </row>
    <row r="858" spans="1:23" ht="15.75" customHeight="1">
      <c r="A858" s="458"/>
      <c r="B858" s="458"/>
      <c r="C858" s="458"/>
      <c r="D858" s="458"/>
      <c r="E858" s="458"/>
      <c r="F858" s="458"/>
      <c r="G858" s="458"/>
      <c r="H858" s="458"/>
      <c r="I858" s="458"/>
      <c r="J858" s="458"/>
      <c r="K858" s="458"/>
      <c r="L858" s="458"/>
      <c r="M858" s="458"/>
      <c r="N858" s="458"/>
      <c r="O858" s="458"/>
      <c r="P858" s="458"/>
      <c r="Q858" s="458"/>
      <c r="R858" s="458"/>
      <c r="S858" s="458"/>
      <c r="T858" s="458"/>
      <c r="U858" s="458"/>
      <c r="V858" s="458"/>
      <c r="W858" s="458"/>
    </row>
    <row r="859" spans="1:23" ht="15.75" customHeight="1">
      <c r="A859" s="458"/>
      <c r="B859" s="458"/>
      <c r="C859" s="458"/>
      <c r="D859" s="458"/>
      <c r="E859" s="458"/>
      <c r="F859" s="458"/>
      <c r="G859" s="458"/>
      <c r="H859" s="458"/>
      <c r="I859" s="458"/>
      <c r="J859" s="458"/>
      <c r="K859" s="458"/>
      <c r="L859" s="458"/>
      <c r="M859" s="458"/>
      <c r="N859" s="458"/>
      <c r="O859" s="458"/>
      <c r="P859" s="458"/>
      <c r="Q859" s="458"/>
      <c r="R859" s="458"/>
      <c r="S859" s="458"/>
      <c r="T859" s="458"/>
      <c r="U859" s="458"/>
      <c r="V859" s="458"/>
      <c r="W859" s="458"/>
    </row>
    <row r="860" spans="1:23" ht="15.75" customHeight="1">
      <c r="A860" s="458"/>
      <c r="B860" s="458"/>
      <c r="C860" s="458"/>
      <c r="D860" s="458"/>
      <c r="E860" s="458"/>
      <c r="F860" s="458"/>
      <c r="G860" s="458"/>
      <c r="H860" s="458"/>
      <c r="I860" s="458"/>
      <c r="J860" s="458"/>
      <c r="K860" s="458"/>
      <c r="L860" s="458"/>
      <c r="M860" s="458"/>
      <c r="N860" s="458"/>
      <c r="O860" s="458"/>
      <c r="P860" s="458"/>
      <c r="Q860" s="458"/>
      <c r="R860" s="458"/>
      <c r="S860" s="458"/>
      <c r="T860" s="458"/>
      <c r="U860" s="458"/>
      <c r="V860" s="458"/>
      <c r="W860" s="458"/>
    </row>
    <row r="861" spans="1:23" ht="15.75" customHeight="1">
      <c r="A861" s="458"/>
      <c r="B861" s="458"/>
      <c r="C861" s="458"/>
      <c r="D861" s="458"/>
      <c r="E861" s="458"/>
      <c r="F861" s="458"/>
      <c r="G861" s="458"/>
      <c r="H861" s="458"/>
      <c r="I861" s="458"/>
      <c r="J861" s="458"/>
      <c r="K861" s="458"/>
      <c r="L861" s="458"/>
      <c r="M861" s="458"/>
      <c r="N861" s="458"/>
      <c r="O861" s="458"/>
      <c r="P861" s="458"/>
      <c r="Q861" s="458"/>
      <c r="R861" s="458"/>
      <c r="S861" s="458"/>
      <c r="T861" s="458"/>
      <c r="U861" s="458"/>
      <c r="V861" s="458"/>
      <c r="W861" s="458"/>
    </row>
    <row r="862" spans="1:23" ht="15.75" customHeight="1">
      <c r="A862" s="458"/>
      <c r="B862" s="458"/>
      <c r="C862" s="458"/>
      <c r="D862" s="458"/>
      <c r="E862" s="458"/>
      <c r="F862" s="458"/>
      <c r="G862" s="458"/>
      <c r="H862" s="458"/>
      <c r="I862" s="458"/>
      <c r="J862" s="458"/>
      <c r="K862" s="458"/>
      <c r="L862" s="458"/>
      <c r="M862" s="458"/>
      <c r="N862" s="458"/>
      <c r="O862" s="458"/>
      <c r="P862" s="458"/>
      <c r="Q862" s="458"/>
      <c r="R862" s="458"/>
      <c r="S862" s="458"/>
      <c r="T862" s="458"/>
      <c r="U862" s="458"/>
      <c r="V862" s="458"/>
      <c r="W862" s="458"/>
    </row>
    <row r="863" spans="1:23" ht="15.75" customHeight="1">
      <c r="A863" s="458"/>
      <c r="B863" s="458"/>
      <c r="C863" s="458"/>
      <c r="D863" s="458"/>
      <c r="E863" s="458"/>
      <c r="F863" s="458"/>
      <c r="G863" s="458"/>
      <c r="H863" s="458"/>
      <c r="I863" s="458"/>
      <c r="J863" s="458"/>
      <c r="K863" s="458"/>
      <c r="L863" s="458"/>
      <c r="M863" s="458"/>
      <c r="N863" s="458"/>
      <c r="O863" s="458"/>
      <c r="P863" s="458"/>
      <c r="Q863" s="458"/>
      <c r="R863" s="458"/>
      <c r="S863" s="458"/>
      <c r="T863" s="458"/>
      <c r="U863" s="458"/>
      <c r="V863" s="458"/>
      <c r="W863" s="458"/>
    </row>
    <row r="864" spans="1:23" ht="15.75" customHeight="1">
      <c r="A864" s="458"/>
      <c r="B864" s="458"/>
      <c r="C864" s="458"/>
      <c r="D864" s="458"/>
      <c r="E864" s="458"/>
      <c r="F864" s="458"/>
      <c r="G864" s="458"/>
      <c r="H864" s="458"/>
      <c r="I864" s="458"/>
      <c r="J864" s="458"/>
      <c r="K864" s="458"/>
      <c r="L864" s="458"/>
      <c r="M864" s="458"/>
      <c r="N864" s="458"/>
      <c r="O864" s="458"/>
      <c r="P864" s="458"/>
      <c r="Q864" s="458"/>
      <c r="R864" s="458"/>
      <c r="S864" s="458"/>
      <c r="T864" s="458"/>
      <c r="U864" s="458"/>
      <c r="V864" s="458"/>
      <c r="W864" s="458"/>
    </row>
    <row r="865" spans="1:23" ht="15.75" customHeight="1">
      <c r="A865" s="458"/>
      <c r="B865" s="458"/>
      <c r="C865" s="458"/>
      <c r="D865" s="458"/>
      <c r="E865" s="458"/>
      <c r="F865" s="458"/>
      <c r="G865" s="458"/>
      <c r="H865" s="458"/>
      <c r="I865" s="458"/>
      <c r="J865" s="458"/>
      <c r="K865" s="458"/>
      <c r="L865" s="458"/>
      <c r="M865" s="458"/>
      <c r="N865" s="458"/>
      <c r="O865" s="458"/>
      <c r="P865" s="458"/>
      <c r="Q865" s="458"/>
      <c r="R865" s="458"/>
      <c r="S865" s="458"/>
      <c r="T865" s="458"/>
      <c r="U865" s="458"/>
      <c r="V865" s="458"/>
      <c r="W865" s="458"/>
    </row>
    <row r="866" spans="1:23" ht="15.75" customHeight="1">
      <c r="A866" s="458"/>
      <c r="B866" s="458"/>
      <c r="C866" s="458"/>
      <c r="D866" s="458"/>
      <c r="E866" s="458"/>
      <c r="F866" s="458"/>
      <c r="G866" s="458"/>
      <c r="H866" s="458"/>
      <c r="I866" s="458"/>
      <c r="J866" s="458"/>
      <c r="K866" s="458"/>
      <c r="L866" s="458"/>
      <c r="M866" s="458"/>
      <c r="N866" s="458"/>
      <c r="O866" s="458"/>
      <c r="P866" s="458"/>
      <c r="Q866" s="458"/>
      <c r="R866" s="458"/>
      <c r="S866" s="458"/>
      <c r="T866" s="458"/>
      <c r="U866" s="458"/>
      <c r="V866" s="458"/>
      <c r="W866" s="458"/>
    </row>
    <row r="867" spans="1:23" ht="15.75" customHeight="1">
      <c r="A867" s="458"/>
      <c r="B867" s="458"/>
      <c r="C867" s="458"/>
      <c r="D867" s="458"/>
      <c r="E867" s="458"/>
      <c r="F867" s="458"/>
      <c r="G867" s="458"/>
      <c r="H867" s="458"/>
      <c r="I867" s="458"/>
      <c r="J867" s="458"/>
      <c r="K867" s="458"/>
      <c r="L867" s="458"/>
      <c r="M867" s="458"/>
      <c r="N867" s="458"/>
      <c r="O867" s="458"/>
      <c r="P867" s="458"/>
      <c r="Q867" s="458"/>
      <c r="R867" s="458"/>
      <c r="S867" s="458"/>
      <c r="T867" s="458"/>
      <c r="U867" s="458"/>
      <c r="V867" s="458"/>
      <c r="W867" s="458"/>
    </row>
    <row r="868" spans="1:23" ht="15.75" customHeight="1">
      <c r="A868" s="458"/>
      <c r="B868" s="458"/>
      <c r="C868" s="458"/>
      <c r="D868" s="458"/>
      <c r="E868" s="458"/>
      <c r="F868" s="458"/>
      <c r="G868" s="458"/>
      <c r="H868" s="458"/>
      <c r="I868" s="458"/>
      <c r="J868" s="458"/>
      <c r="K868" s="458"/>
      <c r="L868" s="458"/>
      <c r="M868" s="458"/>
      <c r="N868" s="458"/>
      <c r="O868" s="458"/>
      <c r="P868" s="458"/>
      <c r="Q868" s="458"/>
      <c r="R868" s="458"/>
      <c r="S868" s="458"/>
      <c r="T868" s="458"/>
      <c r="U868" s="458"/>
      <c r="V868" s="458"/>
      <c r="W868" s="458"/>
    </row>
    <row r="869" spans="1:23" ht="15.75" customHeight="1">
      <c r="A869" s="458"/>
      <c r="B869" s="458"/>
      <c r="C869" s="458"/>
      <c r="D869" s="458"/>
      <c r="E869" s="458"/>
      <c r="F869" s="458"/>
      <c r="G869" s="458"/>
      <c r="H869" s="458"/>
      <c r="I869" s="458"/>
      <c r="J869" s="458"/>
      <c r="K869" s="458"/>
      <c r="L869" s="458"/>
      <c r="M869" s="458"/>
      <c r="N869" s="458"/>
      <c r="O869" s="458"/>
      <c r="P869" s="458"/>
      <c r="Q869" s="458"/>
      <c r="R869" s="458"/>
      <c r="S869" s="458"/>
      <c r="T869" s="458"/>
      <c r="U869" s="458"/>
      <c r="V869" s="458"/>
      <c r="W869" s="458"/>
    </row>
    <row r="870" spans="1:23" ht="15.75" customHeight="1">
      <c r="A870" s="458"/>
      <c r="B870" s="458"/>
      <c r="C870" s="458"/>
      <c r="D870" s="458"/>
      <c r="E870" s="458"/>
      <c r="F870" s="458"/>
      <c r="G870" s="458"/>
      <c r="H870" s="458"/>
      <c r="I870" s="458"/>
      <c r="J870" s="458"/>
      <c r="K870" s="458"/>
      <c r="L870" s="458"/>
      <c r="M870" s="458"/>
      <c r="N870" s="458"/>
      <c r="O870" s="458"/>
      <c r="P870" s="458"/>
      <c r="Q870" s="458"/>
      <c r="R870" s="458"/>
      <c r="S870" s="458"/>
      <c r="T870" s="458"/>
      <c r="U870" s="458"/>
      <c r="V870" s="458"/>
      <c r="W870" s="458"/>
    </row>
    <row r="871" spans="1:23" ht="15.75" customHeight="1">
      <c r="A871" s="458"/>
      <c r="B871" s="458"/>
      <c r="C871" s="458"/>
      <c r="D871" s="458"/>
      <c r="E871" s="458"/>
      <c r="F871" s="458"/>
      <c r="G871" s="458"/>
      <c r="H871" s="458"/>
      <c r="I871" s="458"/>
      <c r="J871" s="458"/>
      <c r="K871" s="458"/>
      <c r="L871" s="458"/>
      <c r="M871" s="458"/>
      <c r="N871" s="458"/>
      <c r="O871" s="458"/>
      <c r="P871" s="458"/>
      <c r="Q871" s="458"/>
      <c r="R871" s="458"/>
      <c r="S871" s="458"/>
      <c r="T871" s="458"/>
      <c r="U871" s="458"/>
      <c r="V871" s="458"/>
      <c r="W871" s="458"/>
    </row>
    <row r="872" spans="1:23" ht="15.75" customHeight="1">
      <c r="A872" s="458"/>
      <c r="B872" s="458"/>
      <c r="C872" s="458"/>
      <c r="D872" s="458"/>
      <c r="E872" s="458"/>
      <c r="F872" s="458"/>
      <c r="G872" s="458"/>
      <c r="H872" s="458"/>
      <c r="I872" s="458"/>
      <c r="J872" s="458"/>
      <c r="K872" s="458"/>
      <c r="L872" s="458"/>
      <c r="M872" s="458"/>
      <c r="N872" s="458"/>
      <c r="O872" s="458"/>
      <c r="P872" s="458"/>
      <c r="Q872" s="458"/>
      <c r="R872" s="458"/>
      <c r="S872" s="458"/>
      <c r="T872" s="458"/>
      <c r="U872" s="458"/>
      <c r="V872" s="458"/>
      <c r="W872" s="458"/>
    </row>
    <row r="873" spans="1:23" ht="15.75" customHeight="1">
      <c r="A873" s="458"/>
      <c r="B873" s="458"/>
      <c r="C873" s="458"/>
      <c r="D873" s="458"/>
      <c r="E873" s="458"/>
      <c r="F873" s="458"/>
      <c r="G873" s="458"/>
      <c r="H873" s="458"/>
      <c r="I873" s="458"/>
      <c r="J873" s="458"/>
      <c r="K873" s="458"/>
      <c r="L873" s="458"/>
      <c r="M873" s="458"/>
      <c r="N873" s="458"/>
      <c r="O873" s="458"/>
      <c r="P873" s="458"/>
      <c r="Q873" s="458"/>
      <c r="R873" s="458"/>
      <c r="S873" s="458"/>
      <c r="T873" s="458"/>
      <c r="U873" s="458"/>
      <c r="V873" s="458"/>
      <c r="W873" s="458"/>
    </row>
    <row r="874" spans="1:23" ht="15.75" customHeight="1">
      <c r="A874" s="458"/>
      <c r="B874" s="458"/>
      <c r="C874" s="458"/>
      <c r="D874" s="458"/>
      <c r="E874" s="458"/>
      <c r="F874" s="458"/>
      <c r="G874" s="458"/>
      <c r="H874" s="458"/>
      <c r="I874" s="458"/>
      <c r="J874" s="458"/>
      <c r="K874" s="458"/>
      <c r="L874" s="458"/>
      <c r="M874" s="458"/>
      <c r="N874" s="458"/>
      <c r="O874" s="458"/>
      <c r="P874" s="458"/>
      <c r="Q874" s="458"/>
      <c r="R874" s="458"/>
      <c r="S874" s="458"/>
      <c r="T874" s="458"/>
      <c r="U874" s="458"/>
      <c r="V874" s="458"/>
      <c r="W874" s="458"/>
    </row>
    <row r="875" spans="1:23" ht="15.75" customHeight="1">
      <c r="A875" s="458"/>
      <c r="B875" s="458"/>
      <c r="C875" s="458"/>
      <c r="D875" s="458"/>
      <c r="E875" s="458"/>
      <c r="F875" s="458"/>
      <c r="G875" s="458"/>
      <c r="H875" s="458"/>
      <c r="I875" s="458"/>
      <c r="J875" s="458"/>
      <c r="K875" s="458"/>
      <c r="L875" s="458"/>
      <c r="M875" s="458"/>
      <c r="N875" s="458"/>
      <c r="O875" s="458"/>
      <c r="P875" s="458"/>
      <c r="Q875" s="458"/>
      <c r="R875" s="458"/>
      <c r="S875" s="458"/>
      <c r="T875" s="458"/>
      <c r="U875" s="458"/>
      <c r="V875" s="458"/>
      <c r="W875" s="458"/>
    </row>
    <row r="876" spans="1:23" ht="15.75" customHeight="1">
      <c r="A876" s="458"/>
      <c r="B876" s="458"/>
      <c r="C876" s="458"/>
      <c r="D876" s="458"/>
      <c r="E876" s="458"/>
      <c r="F876" s="458"/>
      <c r="G876" s="458"/>
      <c r="H876" s="458"/>
      <c r="I876" s="458"/>
      <c r="J876" s="458"/>
      <c r="K876" s="458"/>
      <c r="L876" s="458"/>
      <c r="M876" s="458"/>
      <c r="N876" s="458"/>
      <c r="O876" s="458"/>
      <c r="P876" s="458"/>
      <c r="Q876" s="458"/>
      <c r="R876" s="458"/>
      <c r="S876" s="458"/>
      <c r="T876" s="458"/>
      <c r="U876" s="458"/>
      <c r="V876" s="458"/>
      <c r="W876" s="458"/>
    </row>
    <row r="877" spans="1:23" ht="15.75" customHeight="1">
      <c r="A877" s="458"/>
      <c r="B877" s="458"/>
      <c r="C877" s="458"/>
      <c r="D877" s="458"/>
      <c r="E877" s="458"/>
      <c r="F877" s="458"/>
      <c r="G877" s="458"/>
      <c r="H877" s="458"/>
      <c r="I877" s="458"/>
      <c r="J877" s="458"/>
      <c r="K877" s="458"/>
      <c r="L877" s="458"/>
      <c r="M877" s="458"/>
      <c r="N877" s="458"/>
      <c r="O877" s="458"/>
      <c r="P877" s="458"/>
      <c r="Q877" s="458"/>
      <c r="R877" s="458"/>
      <c r="S877" s="458"/>
      <c r="T877" s="458"/>
      <c r="U877" s="458"/>
      <c r="V877" s="458"/>
      <c r="W877" s="458"/>
    </row>
    <row r="878" spans="1:23" ht="15.75" customHeight="1">
      <c r="A878" s="458"/>
      <c r="B878" s="458"/>
      <c r="C878" s="458"/>
      <c r="D878" s="458"/>
      <c r="E878" s="458"/>
      <c r="F878" s="458"/>
      <c r="G878" s="458"/>
      <c r="H878" s="458"/>
      <c r="I878" s="458"/>
      <c r="J878" s="458"/>
      <c r="K878" s="458"/>
      <c r="L878" s="458"/>
      <c r="M878" s="458"/>
      <c r="N878" s="458"/>
      <c r="O878" s="458"/>
      <c r="P878" s="458"/>
      <c r="Q878" s="458"/>
      <c r="R878" s="458"/>
      <c r="S878" s="458"/>
      <c r="T878" s="458"/>
      <c r="U878" s="458"/>
      <c r="V878" s="458"/>
      <c r="W878" s="458"/>
    </row>
    <row r="879" spans="1:23" ht="15.75" customHeight="1">
      <c r="A879" s="458"/>
      <c r="B879" s="458"/>
      <c r="C879" s="458"/>
      <c r="D879" s="458"/>
      <c r="E879" s="458"/>
      <c r="F879" s="458"/>
      <c r="G879" s="458"/>
      <c r="H879" s="458"/>
      <c r="I879" s="458"/>
      <c r="J879" s="458"/>
      <c r="K879" s="458"/>
      <c r="L879" s="458"/>
      <c r="M879" s="458"/>
      <c r="N879" s="458"/>
      <c r="O879" s="458"/>
      <c r="P879" s="458"/>
      <c r="Q879" s="458"/>
      <c r="R879" s="458"/>
      <c r="S879" s="458"/>
      <c r="T879" s="458"/>
      <c r="U879" s="458"/>
      <c r="V879" s="458"/>
      <c r="W879" s="458"/>
    </row>
    <row r="880" spans="1:23" ht="15.75" customHeight="1">
      <c r="A880" s="458"/>
      <c r="B880" s="458"/>
      <c r="C880" s="458"/>
      <c r="D880" s="458"/>
      <c r="E880" s="458"/>
      <c r="F880" s="458"/>
      <c r="G880" s="458"/>
      <c r="H880" s="458"/>
      <c r="I880" s="458"/>
      <c r="J880" s="458"/>
      <c r="K880" s="458"/>
      <c r="L880" s="458"/>
      <c r="M880" s="458"/>
      <c r="N880" s="458"/>
      <c r="O880" s="458"/>
      <c r="P880" s="458"/>
      <c r="Q880" s="458"/>
      <c r="R880" s="458"/>
      <c r="S880" s="458"/>
      <c r="T880" s="458"/>
      <c r="U880" s="458"/>
      <c r="V880" s="458"/>
      <c r="W880" s="458"/>
    </row>
    <row r="881" spans="1:23" ht="15.75" customHeight="1">
      <c r="A881" s="458"/>
      <c r="B881" s="458"/>
      <c r="C881" s="458"/>
      <c r="D881" s="458"/>
      <c r="E881" s="458"/>
      <c r="F881" s="458"/>
      <c r="G881" s="458"/>
      <c r="H881" s="458"/>
      <c r="I881" s="458"/>
      <c r="J881" s="458"/>
      <c r="K881" s="458"/>
      <c r="L881" s="458"/>
      <c r="M881" s="458"/>
      <c r="N881" s="458"/>
      <c r="O881" s="458"/>
      <c r="P881" s="458"/>
      <c r="Q881" s="458"/>
      <c r="R881" s="458"/>
      <c r="S881" s="458"/>
      <c r="T881" s="458"/>
      <c r="U881" s="458"/>
      <c r="V881" s="458"/>
      <c r="W881" s="458"/>
    </row>
    <row r="882" spans="1:23" ht="15.75" customHeight="1">
      <c r="A882" s="458"/>
      <c r="B882" s="458"/>
      <c r="C882" s="458"/>
      <c r="D882" s="458"/>
      <c r="E882" s="458"/>
      <c r="F882" s="458"/>
      <c r="G882" s="458"/>
      <c r="H882" s="458"/>
      <c r="I882" s="458"/>
      <c r="J882" s="458"/>
      <c r="K882" s="458"/>
      <c r="L882" s="458"/>
      <c r="M882" s="458"/>
      <c r="N882" s="458"/>
      <c r="O882" s="458"/>
      <c r="P882" s="458"/>
      <c r="Q882" s="458"/>
      <c r="R882" s="458"/>
      <c r="S882" s="458"/>
      <c r="T882" s="458"/>
      <c r="U882" s="458"/>
      <c r="V882" s="458"/>
      <c r="W882" s="458"/>
    </row>
    <row r="883" spans="1:23" ht="15.75" customHeight="1">
      <c r="A883" s="458"/>
      <c r="B883" s="458"/>
      <c r="C883" s="458"/>
      <c r="D883" s="458"/>
      <c r="E883" s="458"/>
      <c r="F883" s="458"/>
      <c r="G883" s="458"/>
      <c r="H883" s="458"/>
      <c r="I883" s="458"/>
      <c r="J883" s="458"/>
      <c r="K883" s="458"/>
      <c r="L883" s="458"/>
      <c r="M883" s="458"/>
      <c r="N883" s="458"/>
      <c r="O883" s="458"/>
      <c r="P883" s="458"/>
      <c r="Q883" s="458"/>
      <c r="R883" s="458"/>
      <c r="S883" s="458"/>
      <c r="T883" s="458"/>
      <c r="U883" s="458"/>
      <c r="V883" s="458"/>
      <c r="W883" s="458"/>
    </row>
    <row r="884" spans="1:23" ht="15.75" customHeight="1">
      <c r="A884" s="458"/>
      <c r="B884" s="458"/>
      <c r="C884" s="458"/>
      <c r="D884" s="458"/>
      <c r="E884" s="458"/>
      <c r="F884" s="458"/>
      <c r="G884" s="458"/>
      <c r="H884" s="458"/>
      <c r="I884" s="458"/>
      <c r="J884" s="458"/>
      <c r="K884" s="458"/>
      <c r="L884" s="458"/>
      <c r="M884" s="458"/>
      <c r="N884" s="458"/>
      <c r="O884" s="458"/>
      <c r="P884" s="458"/>
      <c r="Q884" s="458"/>
      <c r="R884" s="458"/>
      <c r="S884" s="458"/>
      <c r="T884" s="458"/>
      <c r="U884" s="458"/>
      <c r="V884" s="458"/>
      <c r="W884" s="458"/>
    </row>
    <row r="885" spans="1:23" ht="15.75" customHeight="1">
      <c r="A885" s="458"/>
      <c r="B885" s="458"/>
      <c r="C885" s="458"/>
      <c r="D885" s="458"/>
      <c r="E885" s="458"/>
      <c r="F885" s="458"/>
      <c r="G885" s="458"/>
      <c r="H885" s="458"/>
      <c r="I885" s="458"/>
      <c r="J885" s="458"/>
      <c r="K885" s="458"/>
      <c r="L885" s="458"/>
      <c r="M885" s="458"/>
      <c r="N885" s="458"/>
      <c r="O885" s="458"/>
      <c r="P885" s="458"/>
      <c r="Q885" s="458"/>
      <c r="R885" s="458"/>
      <c r="S885" s="458"/>
      <c r="T885" s="458"/>
      <c r="U885" s="458"/>
      <c r="V885" s="458"/>
      <c r="W885" s="458"/>
    </row>
    <row r="886" spans="1:23" ht="15.75" customHeight="1">
      <c r="A886" s="458"/>
      <c r="B886" s="458"/>
      <c r="C886" s="458"/>
      <c r="D886" s="458"/>
      <c r="E886" s="458"/>
      <c r="F886" s="458"/>
      <c r="G886" s="458"/>
      <c r="H886" s="458"/>
      <c r="I886" s="458"/>
      <c r="J886" s="458"/>
      <c r="K886" s="458"/>
      <c r="L886" s="458"/>
      <c r="M886" s="458"/>
      <c r="N886" s="458"/>
      <c r="O886" s="458"/>
      <c r="P886" s="458"/>
      <c r="Q886" s="458"/>
      <c r="R886" s="458"/>
      <c r="S886" s="458"/>
      <c r="T886" s="458"/>
      <c r="U886" s="458"/>
      <c r="V886" s="458"/>
      <c r="W886" s="458"/>
    </row>
    <row r="887" spans="1:23" ht="15.75" customHeight="1">
      <c r="A887" s="458"/>
      <c r="B887" s="458"/>
      <c r="C887" s="458"/>
      <c r="D887" s="458"/>
      <c r="E887" s="458"/>
      <c r="F887" s="458"/>
      <c r="G887" s="458"/>
      <c r="H887" s="458"/>
      <c r="I887" s="458"/>
      <c r="J887" s="458"/>
      <c r="K887" s="458"/>
      <c r="L887" s="458"/>
      <c r="M887" s="458"/>
      <c r="N887" s="458"/>
      <c r="O887" s="458"/>
      <c r="P887" s="458"/>
      <c r="Q887" s="458"/>
      <c r="R887" s="458"/>
      <c r="S887" s="458"/>
      <c r="T887" s="458"/>
      <c r="U887" s="458"/>
      <c r="V887" s="458"/>
      <c r="W887" s="458"/>
    </row>
    <row r="888" spans="1:23" ht="15.75" customHeight="1">
      <c r="A888" s="458"/>
      <c r="B888" s="458"/>
      <c r="C888" s="458"/>
      <c r="D888" s="458"/>
      <c r="E888" s="458"/>
      <c r="F888" s="458"/>
      <c r="G888" s="458"/>
      <c r="H888" s="458"/>
      <c r="I888" s="458"/>
      <c r="J888" s="458"/>
      <c r="K888" s="458"/>
      <c r="L888" s="458"/>
      <c r="M888" s="458"/>
      <c r="N888" s="458"/>
      <c r="O888" s="458"/>
      <c r="P888" s="458"/>
      <c r="Q888" s="458"/>
      <c r="R888" s="458"/>
      <c r="S888" s="458"/>
      <c r="T888" s="458"/>
      <c r="U888" s="458"/>
      <c r="V888" s="458"/>
      <c r="W888" s="458"/>
    </row>
    <row r="889" spans="1:23" ht="15.75" customHeight="1">
      <c r="A889" s="458"/>
      <c r="B889" s="458"/>
      <c r="C889" s="458"/>
      <c r="D889" s="458"/>
      <c r="E889" s="458"/>
      <c r="F889" s="458"/>
      <c r="G889" s="458"/>
      <c r="H889" s="458"/>
      <c r="I889" s="458"/>
      <c r="J889" s="458"/>
      <c r="K889" s="458"/>
      <c r="L889" s="458"/>
      <c r="M889" s="458"/>
      <c r="N889" s="458"/>
      <c r="O889" s="458"/>
      <c r="P889" s="458"/>
      <c r="Q889" s="458"/>
      <c r="R889" s="458"/>
      <c r="S889" s="458"/>
      <c r="T889" s="458"/>
      <c r="U889" s="458"/>
      <c r="V889" s="458"/>
      <c r="W889" s="458"/>
    </row>
    <row r="890" spans="1:23" ht="15.75" customHeight="1">
      <c r="A890" s="458"/>
      <c r="B890" s="458"/>
      <c r="C890" s="458"/>
      <c r="D890" s="458"/>
      <c r="E890" s="458"/>
      <c r="F890" s="458"/>
      <c r="G890" s="458"/>
      <c r="H890" s="458"/>
      <c r="I890" s="458"/>
      <c r="J890" s="458"/>
      <c r="K890" s="458"/>
      <c r="L890" s="458"/>
      <c r="M890" s="458"/>
      <c r="N890" s="458"/>
      <c r="O890" s="458"/>
      <c r="P890" s="458"/>
      <c r="Q890" s="458"/>
      <c r="R890" s="458"/>
      <c r="S890" s="458"/>
      <c r="T890" s="458"/>
      <c r="U890" s="458"/>
      <c r="V890" s="458"/>
      <c r="W890" s="458"/>
    </row>
    <row r="891" spans="1:23" ht="15.75" customHeight="1">
      <c r="A891" s="458"/>
      <c r="B891" s="458"/>
      <c r="C891" s="458"/>
      <c r="D891" s="458"/>
      <c r="E891" s="458"/>
      <c r="F891" s="458"/>
      <c r="G891" s="458"/>
      <c r="H891" s="458"/>
      <c r="I891" s="458"/>
      <c r="J891" s="458"/>
      <c r="K891" s="458"/>
      <c r="L891" s="458"/>
      <c r="M891" s="458"/>
      <c r="N891" s="458"/>
      <c r="O891" s="458"/>
      <c r="P891" s="458"/>
      <c r="Q891" s="458"/>
      <c r="R891" s="458"/>
      <c r="S891" s="458"/>
      <c r="T891" s="458"/>
      <c r="U891" s="458"/>
      <c r="V891" s="458"/>
      <c r="W891" s="458"/>
    </row>
    <row r="892" spans="1:23" ht="15.75" customHeight="1">
      <c r="A892" s="458"/>
      <c r="B892" s="458"/>
      <c r="C892" s="458"/>
      <c r="D892" s="458"/>
      <c r="E892" s="458"/>
      <c r="F892" s="458"/>
      <c r="G892" s="458"/>
      <c r="H892" s="458"/>
      <c r="I892" s="458"/>
      <c r="J892" s="458"/>
      <c r="K892" s="458"/>
      <c r="L892" s="458"/>
      <c r="M892" s="458"/>
      <c r="N892" s="458"/>
      <c r="O892" s="458"/>
      <c r="P892" s="458"/>
      <c r="Q892" s="458"/>
      <c r="R892" s="458"/>
      <c r="S892" s="458"/>
      <c r="T892" s="458"/>
      <c r="U892" s="458"/>
      <c r="V892" s="458"/>
      <c r="W892" s="458"/>
    </row>
    <row r="893" spans="1:23" ht="15.75" customHeight="1">
      <c r="A893" s="458"/>
      <c r="B893" s="458"/>
      <c r="C893" s="458"/>
      <c r="D893" s="458"/>
      <c r="E893" s="458"/>
      <c r="F893" s="458"/>
      <c r="G893" s="458"/>
      <c r="H893" s="458"/>
      <c r="I893" s="458"/>
      <c r="J893" s="458"/>
      <c r="K893" s="458"/>
      <c r="L893" s="458"/>
      <c r="M893" s="458"/>
      <c r="N893" s="458"/>
      <c r="O893" s="458"/>
      <c r="P893" s="458"/>
      <c r="Q893" s="458"/>
      <c r="R893" s="458"/>
      <c r="S893" s="458"/>
      <c r="T893" s="458"/>
      <c r="U893" s="458"/>
      <c r="V893" s="458"/>
      <c r="W893" s="458"/>
    </row>
    <row r="894" spans="1:23" ht="15.75" customHeight="1">
      <c r="A894" s="458"/>
      <c r="B894" s="458"/>
      <c r="C894" s="458"/>
      <c r="D894" s="458"/>
      <c r="E894" s="458"/>
      <c r="F894" s="458"/>
      <c r="G894" s="458"/>
      <c r="H894" s="458"/>
      <c r="I894" s="458"/>
      <c r="J894" s="458"/>
      <c r="K894" s="458"/>
      <c r="L894" s="458"/>
      <c r="M894" s="458"/>
      <c r="N894" s="458"/>
      <c r="O894" s="458"/>
      <c r="P894" s="458"/>
      <c r="Q894" s="458"/>
      <c r="R894" s="458"/>
      <c r="S894" s="458"/>
      <c r="T894" s="458"/>
      <c r="U894" s="458"/>
      <c r="V894" s="458"/>
      <c r="W894" s="458"/>
    </row>
    <row r="895" spans="1:23" ht="15.75" customHeight="1">
      <c r="A895" s="458"/>
      <c r="B895" s="458"/>
      <c r="C895" s="458"/>
      <c r="D895" s="458"/>
      <c r="E895" s="458"/>
      <c r="F895" s="458"/>
      <c r="G895" s="458"/>
      <c r="H895" s="458"/>
      <c r="I895" s="458"/>
      <c r="J895" s="458"/>
      <c r="K895" s="458"/>
      <c r="L895" s="458"/>
      <c r="M895" s="458"/>
      <c r="N895" s="458"/>
      <c r="O895" s="458"/>
      <c r="P895" s="458"/>
      <c r="Q895" s="458"/>
      <c r="R895" s="458"/>
      <c r="S895" s="458"/>
      <c r="T895" s="458"/>
      <c r="U895" s="458"/>
      <c r="V895" s="458"/>
      <c r="W895" s="458"/>
    </row>
    <row r="896" spans="1:23" ht="15.75" customHeight="1">
      <c r="A896" s="458"/>
      <c r="B896" s="458"/>
      <c r="C896" s="458"/>
      <c r="D896" s="458"/>
      <c r="E896" s="458"/>
      <c r="F896" s="458"/>
      <c r="G896" s="458"/>
      <c r="H896" s="458"/>
      <c r="I896" s="458"/>
      <c r="J896" s="458"/>
      <c r="K896" s="458"/>
      <c r="L896" s="458"/>
      <c r="M896" s="458"/>
      <c r="N896" s="458"/>
      <c r="O896" s="458"/>
      <c r="P896" s="458"/>
      <c r="Q896" s="458"/>
      <c r="R896" s="458"/>
      <c r="S896" s="458"/>
      <c r="T896" s="458"/>
      <c r="U896" s="458"/>
      <c r="V896" s="458"/>
      <c r="W896" s="458"/>
    </row>
    <row r="897" spans="1:23" ht="15.75" customHeight="1">
      <c r="A897" s="458"/>
      <c r="B897" s="458"/>
      <c r="C897" s="458"/>
      <c r="D897" s="458"/>
      <c r="E897" s="458"/>
      <c r="F897" s="458"/>
      <c r="G897" s="458"/>
      <c r="H897" s="458"/>
      <c r="I897" s="458"/>
      <c r="J897" s="458"/>
      <c r="K897" s="458"/>
      <c r="L897" s="458"/>
      <c r="M897" s="458"/>
      <c r="N897" s="458"/>
      <c r="O897" s="458"/>
      <c r="P897" s="458"/>
      <c r="Q897" s="458"/>
      <c r="R897" s="458"/>
      <c r="S897" s="458"/>
      <c r="T897" s="458"/>
      <c r="U897" s="458"/>
      <c r="V897" s="458"/>
      <c r="W897" s="458"/>
    </row>
    <row r="898" spans="1:23" ht="15.75" customHeight="1">
      <c r="A898" s="458"/>
      <c r="B898" s="458"/>
      <c r="C898" s="458"/>
      <c r="D898" s="458"/>
      <c r="E898" s="458"/>
      <c r="F898" s="458"/>
      <c r="G898" s="458"/>
      <c r="H898" s="458"/>
      <c r="I898" s="458"/>
      <c r="J898" s="458"/>
      <c r="K898" s="458"/>
      <c r="L898" s="458"/>
      <c r="M898" s="458"/>
      <c r="N898" s="458"/>
      <c r="O898" s="458"/>
      <c r="P898" s="458"/>
      <c r="Q898" s="458"/>
      <c r="R898" s="458"/>
      <c r="S898" s="458"/>
      <c r="T898" s="458"/>
      <c r="U898" s="458"/>
      <c r="V898" s="458"/>
      <c r="W898" s="458"/>
    </row>
    <row r="899" spans="1:23" ht="15.75" customHeight="1">
      <c r="A899" s="458"/>
      <c r="B899" s="458"/>
      <c r="C899" s="458"/>
      <c r="D899" s="458"/>
      <c r="E899" s="458"/>
      <c r="F899" s="458"/>
      <c r="G899" s="458"/>
      <c r="H899" s="458"/>
      <c r="I899" s="458"/>
      <c r="J899" s="458"/>
      <c r="K899" s="458"/>
      <c r="L899" s="458"/>
      <c r="M899" s="458"/>
      <c r="N899" s="458"/>
      <c r="O899" s="458"/>
      <c r="P899" s="458"/>
      <c r="Q899" s="458"/>
      <c r="R899" s="458"/>
      <c r="S899" s="458"/>
      <c r="T899" s="458"/>
      <c r="U899" s="458"/>
      <c r="V899" s="458"/>
      <c r="W899" s="458"/>
    </row>
    <row r="900" spans="1:23" ht="15.75" customHeight="1">
      <c r="A900" s="458"/>
      <c r="B900" s="458"/>
      <c r="C900" s="458"/>
      <c r="D900" s="458"/>
      <c r="E900" s="458"/>
      <c r="F900" s="458"/>
      <c r="G900" s="458"/>
      <c r="H900" s="458"/>
      <c r="I900" s="458"/>
      <c r="J900" s="458"/>
      <c r="K900" s="458"/>
      <c r="L900" s="458"/>
      <c r="M900" s="458"/>
      <c r="N900" s="458"/>
      <c r="O900" s="458"/>
      <c r="P900" s="458"/>
      <c r="Q900" s="458"/>
      <c r="R900" s="458"/>
      <c r="S900" s="458"/>
      <c r="T900" s="458"/>
      <c r="U900" s="458"/>
      <c r="V900" s="458"/>
      <c r="W900" s="458"/>
    </row>
    <row r="901" spans="1:23" ht="15.75" customHeight="1">
      <c r="A901" s="458"/>
      <c r="B901" s="458"/>
      <c r="C901" s="458"/>
      <c r="D901" s="458"/>
      <c r="E901" s="458"/>
      <c r="F901" s="458"/>
      <c r="G901" s="458"/>
      <c r="H901" s="458"/>
      <c r="I901" s="458"/>
      <c r="J901" s="458"/>
      <c r="K901" s="458"/>
      <c r="L901" s="458"/>
      <c r="M901" s="458"/>
      <c r="N901" s="458"/>
      <c r="O901" s="458"/>
      <c r="P901" s="458"/>
      <c r="Q901" s="458"/>
      <c r="R901" s="458"/>
      <c r="S901" s="458"/>
      <c r="T901" s="458"/>
      <c r="U901" s="458"/>
      <c r="V901" s="458"/>
      <c r="W901" s="458"/>
    </row>
    <row r="902" spans="1:23" ht="15.75" customHeight="1">
      <c r="A902" s="458"/>
      <c r="B902" s="458"/>
      <c r="C902" s="458"/>
      <c r="D902" s="458"/>
      <c r="E902" s="458"/>
      <c r="F902" s="458"/>
      <c r="G902" s="458"/>
      <c r="H902" s="458"/>
      <c r="I902" s="458"/>
      <c r="J902" s="458"/>
      <c r="K902" s="458"/>
      <c r="L902" s="458"/>
      <c r="M902" s="458"/>
      <c r="N902" s="458"/>
      <c r="O902" s="458"/>
      <c r="P902" s="458"/>
      <c r="Q902" s="458"/>
      <c r="R902" s="458"/>
      <c r="S902" s="458"/>
      <c r="T902" s="458"/>
      <c r="U902" s="458"/>
      <c r="V902" s="458"/>
      <c r="W902" s="458"/>
    </row>
    <row r="903" spans="1:23" ht="15.75" customHeight="1">
      <c r="A903" s="458"/>
      <c r="B903" s="458"/>
      <c r="C903" s="458"/>
      <c r="D903" s="458"/>
      <c r="E903" s="458"/>
      <c r="F903" s="458"/>
      <c r="G903" s="458"/>
      <c r="H903" s="458"/>
      <c r="I903" s="458"/>
      <c r="J903" s="458"/>
      <c r="K903" s="458"/>
      <c r="L903" s="458"/>
      <c r="M903" s="458"/>
      <c r="N903" s="458"/>
      <c r="O903" s="458"/>
      <c r="P903" s="458"/>
      <c r="Q903" s="458"/>
      <c r="R903" s="458"/>
      <c r="S903" s="458"/>
      <c r="T903" s="458"/>
      <c r="U903" s="458"/>
      <c r="V903" s="458"/>
      <c r="W903" s="458"/>
    </row>
    <row r="904" spans="1:23" ht="15.75" customHeight="1">
      <c r="A904" s="458"/>
      <c r="B904" s="458"/>
      <c r="C904" s="458"/>
      <c r="D904" s="458"/>
      <c r="E904" s="458"/>
      <c r="F904" s="458"/>
      <c r="G904" s="458"/>
      <c r="H904" s="458"/>
      <c r="I904" s="458"/>
      <c r="J904" s="458"/>
      <c r="K904" s="458"/>
      <c r="L904" s="458"/>
      <c r="M904" s="458"/>
      <c r="N904" s="458"/>
      <c r="O904" s="458"/>
      <c r="P904" s="458"/>
      <c r="Q904" s="458"/>
      <c r="R904" s="458"/>
      <c r="S904" s="458"/>
      <c r="T904" s="458"/>
      <c r="U904" s="458"/>
      <c r="V904" s="458"/>
      <c r="W904" s="458"/>
    </row>
    <row r="905" spans="1:23" ht="15.75" customHeight="1">
      <c r="A905" s="458"/>
      <c r="B905" s="458"/>
      <c r="C905" s="458"/>
      <c r="D905" s="458"/>
      <c r="E905" s="458"/>
      <c r="F905" s="458"/>
      <c r="G905" s="458"/>
      <c r="H905" s="458"/>
      <c r="I905" s="458"/>
      <c r="J905" s="458"/>
      <c r="K905" s="458"/>
      <c r="L905" s="458"/>
      <c r="M905" s="458"/>
      <c r="N905" s="458"/>
      <c r="O905" s="458"/>
      <c r="P905" s="458"/>
      <c r="Q905" s="458"/>
      <c r="R905" s="458"/>
      <c r="S905" s="458"/>
      <c r="T905" s="458"/>
      <c r="U905" s="458"/>
      <c r="V905" s="458"/>
      <c r="W905" s="458"/>
    </row>
    <row r="906" spans="1:23" ht="15.75" customHeight="1">
      <c r="A906" s="458"/>
      <c r="B906" s="458"/>
      <c r="C906" s="458"/>
      <c r="D906" s="458"/>
      <c r="E906" s="458"/>
      <c r="F906" s="458"/>
      <c r="G906" s="458"/>
      <c r="H906" s="458"/>
      <c r="I906" s="458"/>
      <c r="J906" s="458"/>
      <c r="K906" s="458"/>
      <c r="L906" s="458"/>
      <c r="M906" s="458"/>
      <c r="N906" s="458"/>
      <c r="O906" s="458"/>
      <c r="P906" s="458"/>
      <c r="Q906" s="458"/>
      <c r="R906" s="458"/>
      <c r="S906" s="458"/>
      <c r="T906" s="458"/>
      <c r="U906" s="458"/>
      <c r="V906" s="458"/>
      <c r="W906" s="458"/>
    </row>
    <row r="907" spans="1:23" ht="15.75" customHeight="1">
      <c r="A907" s="458"/>
      <c r="B907" s="458"/>
      <c r="C907" s="458"/>
      <c r="D907" s="458"/>
      <c r="E907" s="458"/>
      <c r="F907" s="458"/>
      <c r="G907" s="458"/>
      <c r="H907" s="458"/>
      <c r="I907" s="458"/>
      <c r="J907" s="458"/>
      <c r="K907" s="458"/>
      <c r="L907" s="458"/>
      <c r="M907" s="458"/>
      <c r="N907" s="458"/>
      <c r="O907" s="458"/>
      <c r="P907" s="458"/>
      <c r="Q907" s="458"/>
      <c r="R907" s="458"/>
      <c r="S907" s="458"/>
      <c r="T907" s="458"/>
      <c r="U907" s="458"/>
      <c r="V907" s="458"/>
      <c r="W907" s="458"/>
    </row>
    <row r="908" spans="1:23" ht="15.75" customHeight="1">
      <c r="A908" s="458"/>
      <c r="B908" s="458"/>
      <c r="C908" s="458"/>
      <c r="D908" s="458"/>
      <c r="E908" s="458"/>
      <c r="F908" s="458"/>
      <c r="G908" s="458"/>
      <c r="H908" s="458"/>
      <c r="I908" s="458"/>
      <c r="J908" s="458"/>
      <c r="K908" s="458"/>
      <c r="L908" s="458"/>
      <c r="M908" s="458"/>
      <c r="N908" s="458"/>
      <c r="O908" s="458"/>
      <c r="P908" s="458"/>
      <c r="Q908" s="458"/>
      <c r="R908" s="458"/>
      <c r="S908" s="458"/>
      <c r="T908" s="458"/>
      <c r="U908" s="458"/>
      <c r="V908" s="458"/>
      <c r="W908" s="458"/>
    </row>
    <row r="909" spans="1:23" ht="15.75" customHeight="1">
      <c r="A909" s="458"/>
      <c r="B909" s="458"/>
      <c r="C909" s="458"/>
      <c r="D909" s="458"/>
      <c r="E909" s="458"/>
      <c r="F909" s="458"/>
      <c r="G909" s="458"/>
      <c r="H909" s="458"/>
      <c r="I909" s="458"/>
      <c r="J909" s="458"/>
      <c r="K909" s="458"/>
      <c r="L909" s="458"/>
      <c r="M909" s="458"/>
      <c r="N909" s="458"/>
      <c r="O909" s="458"/>
      <c r="P909" s="458"/>
      <c r="Q909" s="458"/>
      <c r="R909" s="458"/>
      <c r="S909" s="458"/>
      <c r="T909" s="458"/>
      <c r="U909" s="458"/>
      <c r="V909" s="458"/>
      <c r="W909" s="458"/>
    </row>
    <row r="910" spans="1:23" ht="15.75" customHeight="1">
      <c r="A910" s="458"/>
      <c r="B910" s="458"/>
      <c r="C910" s="458"/>
      <c r="D910" s="458"/>
      <c r="E910" s="458"/>
      <c r="F910" s="458"/>
      <c r="G910" s="458"/>
      <c r="H910" s="458"/>
      <c r="I910" s="458"/>
      <c r="J910" s="458"/>
      <c r="K910" s="458"/>
      <c r="L910" s="458"/>
      <c r="M910" s="458"/>
      <c r="N910" s="458"/>
      <c r="O910" s="458"/>
      <c r="P910" s="458"/>
      <c r="Q910" s="458"/>
      <c r="R910" s="458"/>
      <c r="S910" s="458"/>
      <c r="T910" s="458"/>
      <c r="U910" s="458"/>
      <c r="V910" s="458"/>
      <c r="W910" s="458"/>
    </row>
    <row r="911" spans="1:23" ht="15.75" customHeight="1">
      <c r="A911" s="458"/>
      <c r="B911" s="458"/>
      <c r="C911" s="458"/>
      <c r="D911" s="458"/>
      <c r="E911" s="458"/>
      <c r="F911" s="458"/>
      <c r="G911" s="458"/>
      <c r="H911" s="458"/>
      <c r="I911" s="458"/>
      <c r="J911" s="458"/>
      <c r="K911" s="458"/>
      <c r="L911" s="458"/>
      <c r="M911" s="458"/>
      <c r="N911" s="458"/>
      <c r="O911" s="458"/>
      <c r="P911" s="458"/>
      <c r="Q911" s="458"/>
      <c r="R911" s="458"/>
      <c r="S911" s="458"/>
      <c r="T911" s="458"/>
      <c r="U911" s="458"/>
      <c r="V911" s="458"/>
      <c r="W911" s="458"/>
    </row>
    <row r="912" spans="1:23" ht="15.75" customHeight="1">
      <c r="A912" s="458"/>
      <c r="B912" s="458"/>
      <c r="C912" s="458"/>
      <c r="D912" s="458"/>
      <c r="E912" s="458"/>
      <c r="F912" s="458"/>
      <c r="G912" s="458"/>
      <c r="H912" s="458"/>
      <c r="I912" s="458"/>
      <c r="J912" s="458"/>
      <c r="K912" s="458"/>
      <c r="L912" s="458"/>
      <c r="M912" s="458"/>
      <c r="N912" s="458"/>
      <c r="O912" s="458"/>
      <c r="P912" s="458"/>
      <c r="Q912" s="458"/>
      <c r="R912" s="458"/>
      <c r="S912" s="458"/>
      <c r="T912" s="458"/>
      <c r="U912" s="458"/>
      <c r="V912" s="458"/>
      <c r="W912" s="458"/>
    </row>
    <row r="913" spans="1:23" ht="15.75" customHeight="1">
      <c r="A913" s="458"/>
      <c r="B913" s="458"/>
      <c r="C913" s="458"/>
      <c r="D913" s="458"/>
      <c r="E913" s="458"/>
      <c r="F913" s="458"/>
      <c r="G913" s="458"/>
      <c r="H913" s="458"/>
      <c r="I913" s="458"/>
      <c r="J913" s="458"/>
      <c r="K913" s="458"/>
      <c r="L913" s="458"/>
      <c r="M913" s="458"/>
      <c r="N913" s="458"/>
      <c r="O913" s="458"/>
      <c r="P913" s="458"/>
      <c r="Q913" s="458"/>
      <c r="R913" s="458"/>
      <c r="S913" s="458"/>
      <c r="T913" s="458"/>
      <c r="U913" s="458"/>
      <c r="V913" s="458"/>
      <c r="W913" s="458"/>
    </row>
    <row r="914" spans="1:23" ht="15.75" customHeight="1">
      <c r="A914" s="458"/>
      <c r="B914" s="458"/>
      <c r="C914" s="458"/>
      <c r="D914" s="458"/>
      <c r="E914" s="458"/>
      <c r="F914" s="458"/>
      <c r="G914" s="458"/>
      <c r="H914" s="458"/>
      <c r="I914" s="458"/>
      <c r="J914" s="458"/>
      <c r="K914" s="458"/>
      <c r="L914" s="458"/>
      <c r="M914" s="458"/>
      <c r="N914" s="458"/>
      <c r="O914" s="458"/>
      <c r="P914" s="458"/>
      <c r="Q914" s="458"/>
      <c r="R914" s="458"/>
      <c r="S914" s="458"/>
      <c r="T914" s="458"/>
      <c r="U914" s="458"/>
      <c r="V914" s="458"/>
      <c r="W914" s="458"/>
    </row>
    <row r="915" spans="1:23" ht="15.75" customHeight="1">
      <c r="A915" s="458"/>
      <c r="B915" s="458"/>
      <c r="C915" s="458"/>
      <c r="D915" s="458"/>
      <c r="E915" s="458"/>
      <c r="F915" s="458"/>
      <c r="G915" s="458"/>
      <c r="H915" s="458"/>
      <c r="I915" s="458"/>
      <c r="J915" s="458"/>
      <c r="K915" s="458"/>
      <c r="L915" s="458"/>
      <c r="M915" s="458"/>
      <c r="N915" s="458"/>
      <c r="O915" s="458"/>
      <c r="P915" s="458"/>
      <c r="Q915" s="458"/>
      <c r="R915" s="458"/>
      <c r="S915" s="458"/>
      <c r="T915" s="458"/>
      <c r="U915" s="458"/>
      <c r="V915" s="458"/>
      <c r="W915" s="458"/>
    </row>
    <row r="916" spans="1:23" ht="15.75" customHeight="1">
      <c r="A916" s="458"/>
      <c r="B916" s="458"/>
      <c r="C916" s="458"/>
      <c r="D916" s="458"/>
      <c r="E916" s="458"/>
      <c r="F916" s="458"/>
      <c r="G916" s="458"/>
      <c r="H916" s="458"/>
      <c r="I916" s="458"/>
      <c r="J916" s="458"/>
      <c r="K916" s="458"/>
      <c r="L916" s="458"/>
      <c r="M916" s="458"/>
      <c r="N916" s="458"/>
      <c r="O916" s="458"/>
      <c r="P916" s="458"/>
      <c r="Q916" s="458"/>
      <c r="R916" s="458"/>
      <c r="S916" s="458"/>
      <c r="T916" s="458"/>
      <c r="U916" s="458"/>
      <c r="V916" s="458"/>
      <c r="W916" s="458"/>
    </row>
    <row r="917" spans="1:23" ht="15.75" customHeight="1">
      <c r="A917" s="458"/>
      <c r="B917" s="458"/>
      <c r="C917" s="458"/>
      <c r="D917" s="458"/>
      <c r="E917" s="458"/>
      <c r="F917" s="458"/>
      <c r="G917" s="458"/>
      <c r="H917" s="458"/>
      <c r="I917" s="458"/>
      <c r="J917" s="458"/>
      <c r="K917" s="458"/>
      <c r="L917" s="458"/>
      <c r="M917" s="458"/>
      <c r="N917" s="458"/>
      <c r="O917" s="458"/>
      <c r="P917" s="458"/>
      <c r="Q917" s="458"/>
      <c r="R917" s="458"/>
      <c r="S917" s="458"/>
      <c r="T917" s="458"/>
      <c r="U917" s="458"/>
      <c r="V917" s="458"/>
      <c r="W917" s="458"/>
    </row>
    <row r="918" spans="1:23" ht="15.75" customHeight="1">
      <c r="A918" s="458"/>
      <c r="B918" s="458"/>
      <c r="C918" s="458"/>
      <c r="D918" s="458"/>
      <c r="E918" s="458"/>
      <c r="F918" s="458"/>
      <c r="G918" s="458"/>
      <c r="H918" s="458"/>
      <c r="I918" s="458"/>
      <c r="J918" s="458"/>
      <c r="K918" s="458"/>
      <c r="L918" s="458"/>
      <c r="M918" s="458"/>
      <c r="N918" s="458"/>
      <c r="O918" s="458"/>
      <c r="P918" s="458"/>
      <c r="Q918" s="458"/>
      <c r="R918" s="458"/>
      <c r="S918" s="458"/>
      <c r="T918" s="458"/>
      <c r="U918" s="458"/>
      <c r="V918" s="458"/>
      <c r="W918" s="458"/>
    </row>
    <row r="919" spans="1:23" ht="15.75" customHeight="1">
      <c r="A919" s="458"/>
      <c r="B919" s="458"/>
      <c r="C919" s="458"/>
      <c r="D919" s="458"/>
      <c r="E919" s="458"/>
      <c r="F919" s="458"/>
      <c r="G919" s="458"/>
      <c r="H919" s="458"/>
      <c r="I919" s="458"/>
      <c r="J919" s="458"/>
      <c r="K919" s="458"/>
      <c r="L919" s="458"/>
      <c r="M919" s="458"/>
      <c r="N919" s="458"/>
      <c r="O919" s="458"/>
      <c r="P919" s="458"/>
      <c r="Q919" s="458"/>
      <c r="R919" s="458"/>
      <c r="S919" s="458"/>
      <c r="T919" s="458"/>
      <c r="U919" s="458"/>
      <c r="V919" s="458"/>
      <c r="W919" s="458"/>
    </row>
    <row r="920" spans="1:23" ht="15.75" customHeight="1">
      <c r="A920" s="458"/>
      <c r="B920" s="458"/>
      <c r="C920" s="458"/>
      <c r="D920" s="458"/>
      <c r="E920" s="458"/>
      <c r="F920" s="458"/>
      <c r="G920" s="458"/>
      <c r="H920" s="458"/>
      <c r="I920" s="458"/>
      <c r="J920" s="458"/>
      <c r="K920" s="458"/>
      <c r="L920" s="458"/>
      <c r="M920" s="458"/>
      <c r="N920" s="458"/>
      <c r="O920" s="458"/>
      <c r="P920" s="458"/>
      <c r="Q920" s="458"/>
      <c r="R920" s="458"/>
      <c r="S920" s="458"/>
      <c r="T920" s="458"/>
      <c r="U920" s="458"/>
      <c r="V920" s="458"/>
      <c r="W920" s="458"/>
    </row>
    <row r="921" spans="1:23" ht="15.75" customHeight="1">
      <c r="A921" s="458"/>
      <c r="B921" s="458"/>
      <c r="C921" s="458"/>
      <c r="D921" s="458"/>
      <c r="E921" s="458"/>
      <c r="F921" s="458"/>
      <c r="G921" s="458"/>
      <c r="H921" s="458"/>
      <c r="I921" s="458"/>
      <c r="J921" s="458"/>
      <c r="K921" s="458"/>
      <c r="L921" s="458"/>
      <c r="M921" s="458"/>
      <c r="N921" s="458"/>
      <c r="O921" s="458"/>
      <c r="P921" s="458"/>
      <c r="Q921" s="458"/>
      <c r="R921" s="458"/>
      <c r="S921" s="458"/>
      <c r="T921" s="458"/>
      <c r="U921" s="458"/>
      <c r="V921" s="458"/>
      <c r="W921" s="458"/>
    </row>
    <row r="922" spans="1:23" ht="15.75" customHeight="1">
      <c r="A922" s="458"/>
      <c r="B922" s="458"/>
      <c r="C922" s="458"/>
      <c r="D922" s="458"/>
      <c r="E922" s="458"/>
      <c r="F922" s="458"/>
      <c r="G922" s="458"/>
      <c r="H922" s="458"/>
      <c r="I922" s="458"/>
      <c r="J922" s="458"/>
      <c r="K922" s="458"/>
      <c r="L922" s="458"/>
      <c r="M922" s="458"/>
      <c r="N922" s="458"/>
      <c r="O922" s="458"/>
      <c r="P922" s="458"/>
      <c r="Q922" s="458"/>
      <c r="R922" s="458"/>
      <c r="S922" s="458"/>
      <c r="T922" s="458"/>
      <c r="U922" s="458"/>
      <c r="V922" s="458"/>
      <c r="W922" s="458"/>
    </row>
    <row r="923" spans="1:23" ht="15.75" customHeight="1">
      <c r="A923" s="458"/>
      <c r="B923" s="458"/>
      <c r="C923" s="458"/>
      <c r="D923" s="458"/>
      <c r="E923" s="458"/>
      <c r="F923" s="458"/>
      <c r="G923" s="458"/>
      <c r="H923" s="458"/>
      <c r="I923" s="458"/>
      <c r="J923" s="458"/>
      <c r="K923" s="458"/>
      <c r="L923" s="458"/>
      <c r="M923" s="458"/>
      <c r="N923" s="458"/>
      <c r="O923" s="458"/>
      <c r="P923" s="458"/>
      <c r="Q923" s="458"/>
      <c r="R923" s="458"/>
      <c r="S923" s="458"/>
      <c r="T923" s="458"/>
      <c r="U923" s="458"/>
      <c r="V923" s="458"/>
      <c r="W923" s="458"/>
    </row>
    <row r="924" spans="1:23" ht="15.75" customHeight="1">
      <c r="A924" s="458"/>
      <c r="B924" s="458"/>
      <c r="C924" s="458"/>
      <c r="D924" s="458"/>
      <c r="E924" s="458"/>
      <c r="F924" s="458"/>
      <c r="G924" s="458"/>
      <c r="H924" s="458"/>
      <c r="I924" s="458"/>
      <c r="J924" s="458"/>
      <c r="K924" s="458"/>
      <c r="L924" s="458"/>
      <c r="M924" s="458"/>
      <c r="N924" s="458"/>
      <c r="O924" s="458"/>
      <c r="P924" s="458"/>
      <c r="Q924" s="458"/>
      <c r="R924" s="458"/>
      <c r="S924" s="458"/>
      <c r="T924" s="458"/>
      <c r="U924" s="458"/>
      <c r="V924" s="458"/>
      <c r="W924" s="458"/>
    </row>
    <row r="925" spans="1:23" ht="15.75" customHeight="1">
      <c r="A925" s="458"/>
      <c r="B925" s="458"/>
      <c r="C925" s="458"/>
      <c r="D925" s="458"/>
      <c r="E925" s="458"/>
      <c r="F925" s="458"/>
      <c r="G925" s="458"/>
      <c r="H925" s="458"/>
      <c r="I925" s="458"/>
      <c r="J925" s="458"/>
      <c r="K925" s="458"/>
      <c r="L925" s="458"/>
      <c r="M925" s="458"/>
      <c r="N925" s="458"/>
      <c r="O925" s="458"/>
      <c r="P925" s="458"/>
      <c r="Q925" s="458"/>
      <c r="R925" s="458"/>
      <c r="S925" s="458"/>
      <c r="T925" s="458"/>
      <c r="U925" s="458"/>
      <c r="V925" s="458"/>
      <c r="W925" s="458"/>
    </row>
    <row r="926" spans="1:23" ht="15.75" customHeight="1">
      <c r="A926" s="458"/>
      <c r="B926" s="458"/>
      <c r="C926" s="458"/>
      <c r="D926" s="458"/>
      <c r="E926" s="458"/>
      <c r="F926" s="458"/>
      <c r="G926" s="458"/>
      <c r="H926" s="458"/>
      <c r="I926" s="458"/>
      <c r="J926" s="458"/>
      <c r="K926" s="458"/>
      <c r="L926" s="458"/>
      <c r="M926" s="458"/>
      <c r="N926" s="458"/>
      <c r="O926" s="458"/>
      <c r="P926" s="458"/>
      <c r="Q926" s="458"/>
      <c r="R926" s="458"/>
      <c r="S926" s="458"/>
      <c r="T926" s="458"/>
      <c r="U926" s="458"/>
      <c r="V926" s="458"/>
      <c r="W926" s="458"/>
    </row>
    <row r="927" spans="1:23" ht="15.75" customHeight="1">
      <c r="A927" s="458"/>
      <c r="B927" s="458"/>
      <c r="C927" s="458"/>
      <c r="D927" s="458"/>
      <c r="E927" s="458"/>
      <c r="F927" s="458"/>
      <c r="G927" s="458"/>
      <c r="H927" s="458"/>
      <c r="I927" s="458"/>
      <c r="J927" s="458"/>
      <c r="K927" s="458"/>
      <c r="L927" s="458"/>
      <c r="M927" s="458"/>
      <c r="N927" s="458"/>
      <c r="O927" s="458"/>
      <c r="P927" s="458"/>
      <c r="Q927" s="458"/>
      <c r="R927" s="458"/>
      <c r="S927" s="458"/>
      <c r="T927" s="458"/>
      <c r="U927" s="458"/>
      <c r="V927" s="458"/>
      <c r="W927" s="458"/>
    </row>
    <row r="928" spans="1:23" ht="15.75" customHeight="1">
      <c r="A928" s="458"/>
      <c r="B928" s="458"/>
      <c r="C928" s="458"/>
      <c r="D928" s="458"/>
      <c r="E928" s="458"/>
      <c r="F928" s="458"/>
      <c r="G928" s="458"/>
      <c r="H928" s="458"/>
      <c r="I928" s="458"/>
      <c r="J928" s="458"/>
      <c r="K928" s="458"/>
      <c r="L928" s="458"/>
      <c r="M928" s="458"/>
      <c r="N928" s="458"/>
      <c r="O928" s="458"/>
      <c r="P928" s="458"/>
      <c r="Q928" s="458"/>
      <c r="R928" s="458"/>
      <c r="S928" s="458"/>
      <c r="T928" s="458"/>
      <c r="U928" s="458"/>
      <c r="V928" s="458"/>
      <c r="W928" s="458"/>
    </row>
    <row r="929" spans="1:23" ht="15.75" customHeight="1">
      <c r="A929" s="458"/>
      <c r="B929" s="458"/>
      <c r="C929" s="458"/>
      <c r="D929" s="458"/>
      <c r="E929" s="458"/>
      <c r="F929" s="458"/>
      <c r="G929" s="458"/>
      <c r="H929" s="458"/>
      <c r="I929" s="458"/>
      <c r="J929" s="458"/>
      <c r="K929" s="458"/>
      <c r="L929" s="458"/>
      <c r="M929" s="458"/>
      <c r="N929" s="458"/>
      <c r="O929" s="458"/>
      <c r="P929" s="458"/>
      <c r="Q929" s="458"/>
      <c r="R929" s="458"/>
      <c r="S929" s="458"/>
      <c r="T929" s="458"/>
      <c r="U929" s="458"/>
      <c r="V929" s="458"/>
      <c r="W929" s="458"/>
    </row>
    <row r="930" spans="1:23" ht="15.75" customHeight="1">
      <c r="A930" s="458"/>
      <c r="B930" s="458"/>
      <c r="C930" s="458"/>
      <c r="D930" s="458"/>
      <c r="E930" s="458"/>
      <c r="F930" s="458"/>
      <c r="G930" s="458"/>
      <c r="H930" s="458"/>
      <c r="I930" s="458"/>
      <c r="J930" s="458"/>
      <c r="K930" s="458"/>
      <c r="L930" s="458"/>
      <c r="M930" s="458"/>
      <c r="N930" s="458"/>
      <c r="O930" s="458"/>
      <c r="P930" s="458"/>
      <c r="Q930" s="458"/>
      <c r="R930" s="458"/>
      <c r="S930" s="458"/>
      <c r="T930" s="458"/>
      <c r="U930" s="458"/>
      <c r="V930" s="458"/>
      <c r="W930" s="458"/>
    </row>
    <row r="931" spans="1:23" ht="15.75" customHeight="1">
      <c r="A931" s="458"/>
      <c r="B931" s="458"/>
      <c r="C931" s="458"/>
      <c r="D931" s="458"/>
      <c r="E931" s="458"/>
      <c r="F931" s="458"/>
      <c r="G931" s="458"/>
      <c r="H931" s="458"/>
      <c r="I931" s="458"/>
      <c r="J931" s="458"/>
      <c r="K931" s="458"/>
      <c r="L931" s="458"/>
      <c r="M931" s="458"/>
      <c r="N931" s="458"/>
      <c r="O931" s="458"/>
      <c r="P931" s="458"/>
      <c r="Q931" s="458"/>
      <c r="R931" s="458"/>
      <c r="S931" s="458"/>
      <c r="T931" s="458"/>
      <c r="U931" s="458"/>
      <c r="V931" s="458"/>
      <c r="W931" s="458"/>
    </row>
    <row r="932" spans="1:23" ht="15.75" customHeight="1">
      <c r="A932" s="458"/>
      <c r="B932" s="458"/>
      <c r="C932" s="458"/>
      <c r="D932" s="458"/>
      <c r="E932" s="458"/>
      <c r="F932" s="458"/>
      <c r="G932" s="458"/>
      <c r="H932" s="458"/>
      <c r="I932" s="458"/>
      <c r="J932" s="458"/>
      <c r="K932" s="458"/>
      <c r="L932" s="458"/>
      <c r="M932" s="458"/>
      <c r="N932" s="458"/>
      <c r="O932" s="458"/>
      <c r="P932" s="458"/>
      <c r="Q932" s="458"/>
      <c r="R932" s="458"/>
      <c r="S932" s="458"/>
      <c r="T932" s="458"/>
      <c r="U932" s="458"/>
      <c r="V932" s="458"/>
      <c r="W932" s="458"/>
    </row>
    <row r="933" spans="1:23" ht="15.75" customHeight="1">
      <c r="A933" s="458"/>
      <c r="B933" s="458"/>
      <c r="C933" s="458"/>
      <c r="D933" s="458"/>
      <c r="E933" s="458"/>
      <c r="F933" s="458"/>
      <c r="G933" s="458"/>
      <c r="H933" s="458"/>
      <c r="I933" s="458"/>
      <c r="J933" s="458"/>
      <c r="K933" s="458"/>
      <c r="L933" s="458"/>
      <c r="M933" s="458"/>
      <c r="N933" s="458"/>
      <c r="O933" s="458"/>
      <c r="P933" s="458"/>
      <c r="Q933" s="458"/>
      <c r="R933" s="458"/>
      <c r="S933" s="458"/>
      <c r="T933" s="458"/>
      <c r="U933" s="458"/>
      <c r="V933" s="458"/>
      <c r="W933" s="458"/>
    </row>
    <row r="934" spans="1:23" ht="15.75" customHeight="1">
      <c r="A934" s="458"/>
      <c r="B934" s="458"/>
      <c r="C934" s="458"/>
      <c r="D934" s="458"/>
      <c r="E934" s="458"/>
      <c r="F934" s="458"/>
      <c r="G934" s="458"/>
      <c r="H934" s="458"/>
      <c r="I934" s="458"/>
      <c r="J934" s="458"/>
      <c r="K934" s="458"/>
      <c r="L934" s="458"/>
      <c r="M934" s="458"/>
      <c r="N934" s="458"/>
      <c r="O934" s="458"/>
      <c r="P934" s="458"/>
      <c r="Q934" s="458"/>
      <c r="R934" s="458"/>
      <c r="S934" s="458"/>
      <c r="T934" s="458"/>
      <c r="U934" s="458"/>
      <c r="V934" s="458"/>
      <c r="W934" s="458"/>
    </row>
    <row r="935" spans="1:23" ht="15.75" customHeight="1">
      <c r="A935" s="458"/>
      <c r="B935" s="458"/>
      <c r="C935" s="458"/>
      <c r="D935" s="458"/>
      <c r="E935" s="458"/>
      <c r="F935" s="458"/>
      <c r="G935" s="458"/>
      <c r="H935" s="458"/>
      <c r="I935" s="458"/>
      <c r="J935" s="458"/>
      <c r="K935" s="458"/>
      <c r="L935" s="458"/>
      <c r="M935" s="458"/>
      <c r="N935" s="458"/>
      <c r="O935" s="458"/>
      <c r="P935" s="458"/>
      <c r="Q935" s="458"/>
      <c r="R935" s="458"/>
      <c r="S935" s="458"/>
      <c r="T935" s="458"/>
      <c r="U935" s="458"/>
      <c r="V935" s="458"/>
      <c r="W935" s="458"/>
    </row>
    <row r="936" spans="1:23" ht="15.75" customHeight="1">
      <c r="A936" s="458"/>
      <c r="B936" s="458"/>
      <c r="C936" s="458"/>
      <c r="D936" s="458"/>
      <c r="E936" s="458"/>
      <c r="F936" s="458"/>
      <c r="G936" s="458"/>
      <c r="H936" s="458"/>
      <c r="I936" s="458"/>
      <c r="J936" s="458"/>
      <c r="K936" s="458"/>
      <c r="L936" s="458"/>
      <c r="M936" s="458"/>
      <c r="N936" s="458"/>
      <c r="O936" s="458"/>
      <c r="P936" s="458"/>
      <c r="Q936" s="458"/>
      <c r="R936" s="458"/>
      <c r="S936" s="458"/>
      <c r="T936" s="458"/>
      <c r="U936" s="458"/>
      <c r="V936" s="458"/>
      <c r="W936" s="458"/>
    </row>
    <row r="937" spans="1:23" ht="15.75" customHeight="1">
      <c r="A937" s="458"/>
      <c r="B937" s="458"/>
      <c r="C937" s="458"/>
      <c r="D937" s="458"/>
      <c r="E937" s="458"/>
      <c r="F937" s="458"/>
      <c r="G937" s="458"/>
      <c r="H937" s="458"/>
      <c r="I937" s="458"/>
      <c r="J937" s="458"/>
      <c r="K937" s="458"/>
      <c r="L937" s="458"/>
      <c r="M937" s="458"/>
      <c r="N937" s="458"/>
      <c r="O937" s="458"/>
      <c r="P937" s="458"/>
      <c r="Q937" s="458"/>
      <c r="R937" s="458"/>
      <c r="S937" s="458"/>
      <c r="T937" s="458"/>
      <c r="U937" s="458"/>
      <c r="V937" s="458"/>
      <c r="W937" s="458"/>
    </row>
    <row r="938" spans="1:23" ht="15.75" customHeight="1">
      <c r="A938" s="458"/>
      <c r="B938" s="458"/>
      <c r="C938" s="458"/>
      <c r="D938" s="458"/>
      <c r="E938" s="458"/>
      <c r="F938" s="458"/>
      <c r="G938" s="458"/>
      <c r="H938" s="458"/>
      <c r="I938" s="458"/>
      <c r="J938" s="458"/>
      <c r="K938" s="458"/>
      <c r="L938" s="458"/>
      <c r="M938" s="458"/>
      <c r="N938" s="458"/>
      <c r="O938" s="458"/>
      <c r="P938" s="458"/>
      <c r="Q938" s="458"/>
      <c r="R938" s="458"/>
      <c r="S938" s="458"/>
      <c r="T938" s="458"/>
      <c r="U938" s="458"/>
      <c r="V938" s="458"/>
      <c r="W938" s="458"/>
    </row>
    <row r="939" spans="1:23" ht="15.75" customHeight="1">
      <c r="A939" s="458"/>
      <c r="B939" s="458"/>
      <c r="C939" s="458"/>
      <c r="D939" s="458"/>
      <c r="E939" s="458"/>
      <c r="F939" s="458"/>
      <c r="G939" s="458"/>
      <c r="H939" s="458"/>
      <c r="I939" s="458"/>
      <c r="J939" s="458"/>
      <c r="K939" s="458"/>
      <c r="L939" s="458"/>
      <c r="M939" s="458"/>
      <c r="N939" s="458"/>
      <c r="O939" s="458"/>
      <c r="P939" s="458"/>
      <c r="Q939" s="458"/>
      <c r="R939" s="458"/>
      <c r="S939" s="458"/>
      <c r="T939" s="458"/>
      <c r="U939" s="458"/>
      <c r="V939" s="458"/>
      <c r="W939" s="458"/>
    </row>
    <row r="940" spans="1:23" ht="15.75" customHeight="1">
      <c r="A940" s="458"/>
      <c r="B940" s="458"/>
      <c r="C940" s="458"/>
      <c r="D940" s="458"/>
      <c r="E940" s="458"/>
      <c r="F940" s="458"/>
      <c r="G940" s="458"/>
      <c r="H940" s="458"/>
      <c r="I940" s="458"/>
      <c r="J940" s="458"/>
      <c r="K940" s="458"/>
      <c r="L940" s="458"/>
      <c r="M940" s="458"/>
      <c r="N940" s="458"/>
      <c r="O940" s="458"/>
      <c r="P940" s="458"/>
      <c r="Q940" s="458"/>
      <c r="R940" s="458"/>
      <c r="S940" s="458"/>
      <c r="T940" s="458"/>
      <c r="U940" s="458"/>
      <c r="V940" s="458"/>
      <c r="W940" s="458"/>
    </row>
    <row r="941" spans="1:23" ht="15.75" customHeight="1">
      <c r="A941" s="458"/>
      <c r="B941" s="458"/>
      <c r="C941" s="458"/>
      <c r="D941" s="458"/>
      <c r="E941" s="458"/>
      <c r="F941" s="458"/>
      <c r="G941" s="458"/>
      <c r="H941" s="458"/>
      <c r="I941" s="458"/>
      <c r="J941" s="458"/>
      <c r="K941" s="458"/>
      <c r="L941" s="458"/>
      <c r="M941" s="458"/>
      <c r="N941" s="458"/>
      <c r="O941" s="458"/>
      <c r="P941" s="458"/>
      <c r="Q941" s="458"/>
      <c r="R941" s="458"/>
      <c r="S941" s="458"/>
      <c r="T941" s="458"/>
      <c r="U941" s="458"/>
      <c r="V941" s="458"/>
      <c r="W941" s="458"/>
    </row>
    <row r="942" spans="1:23" ht="15.75" customHeight="1">
      <c r="A942" s="458"/>
      <c r="B942" s="458"/>
      <c r="C942" s="458"/>
      <c r="D942" s="458"/>
      <c r="E942" s="458"/>
      <c r="F942" s="458"/>
      <c r="G942" s="458"/>
      <c r="H942" s="458"/>
      <c r="I942" s="458"/>
      <c r="J942" s="458"/>
      <c r="K942" s="458"/>
      <c r="L942" s="458"/>
      <c r="M942" s="458"/>
      <c r="N942" s="458"/>
      <c r="O942" s="458"/>
      <c r="P942" s="458"/>
      <c r="Q942" s="458"/>
      <c r="R942" s="458"/>
      <c r="S942" s="458"/>
      <c r="T942" s="458"/>
      <c r="U942" s="458"/>
      <c r="V942" s="458"/>
      <c r="W942" s="458"/>
    </row>
    <row r="943" spans="1:23" ht="15.75" customHeight="1">
      <c r="A943" s="458"/>
      <c r="B943" s="458"/>
      <c r="C943" s="458"/>
      <c r="D943" s="458"/>
      <c r="E943" s="458"/>
      <c r="F943" s="458"/>
      <c r="G943" s="458"/>
      <c r="H943" s="458"/>
      <c r="I943" s="458"/>
      <c r="J943" s="458"/>
      <c r="K943" s="458"/>
      <c r="L943" s="458"/>
      <c r="M943" s="458"/>
      <c r="N943" s="458"/>
      <c r="O943" s="458"/>
      <c r="P943" s="458"/>
      <c r="Q943" s="458"/>
      <c r="R943" s="458"/>
      <c r="S943" s="458"/>
      <c r="T943" s="458"/>
      <c r="U943" s="458"/>
      <c r="V943" s="458"/>
      <c r="W943" s="458"/>
    </row>
    <row r="944" spans="1:23" ht="15.75" customHeight="1">
      <c r="A944" s="458"/>
      <c r="B944" s="458"/>
      <c r="C944" s="458"/>
      <c r="D944" s="458"/>
      <c r="E944" s="458"/>
      <c r="F944" s="458"/>
      <c r="G944" s="458"/>
      <c r="H944" s="458"/>
      <c r="I944" s="458"/>
      <c r="J944" s="458"/>
      <c r="K944" s="458"/>
      <c r="L944" s="458"/>
      <c r="M944" s="458"/>
      <c r="N944" s="458"/>
      <c r="O944" s="458"/>
      <c r="P944" s="458"/>
      <c r="Q944" s="458"/>
      <c r="R944" s="458"/>
      <c r="S944" s="458"/>
      <c r="T944" s="458"/>
      <c r="U944" s="458"/>
      <c r="V944" s="458"/>
      <c r="W944" s="458"/>
    </row>
    <row r="945" spans="1:23" ht="15.75" customHeight="1">
      <c r="A945" s="458"/>
      <c r="B945" s="458"/>
      <c r="C945" s="458"/>
      <c r="D945" s="458"/>
      <c r="E945" s="458"/>
      <c r="F945" s="458"/>
      <c r="G945" s="458"/>
      <c r="H945" s="458"/>
      <c r="I945" s="458"/>
      <c r="J945" s="458"/>
      <c r="K945" s="458"/>
      <c r="L945" s="458"/>
      <c r="M945" s="458"/>
      <c r="N945" s="458"/>
      <c r="O945" s="458"/>
      <c r="P945" s="458"/>
      <c r="Q945" s="458"/>
      <c r="R945" s="458"/>
      <c r="S945" s="458"/>
      <c r="T945" s="458"/>
      <c r="U945" s="458"/>
      <c r="V945" s="458"/>
      <c r="W945" s="458"/>
    </row>
    <row r="946" spans="1:23" ht="15.75" customHeight="1">
      <c r="A946" s="458"/>
      <c r="B946" s="458"/>
      <c r="C946" s="458"/>
      <c r="D946" s="458"/>
      <c r="E946" s="458"/>
      <c r="F946" s="458"/>
      <c r="G946" s="458"/>
      <c r="H946" s="458"/>
      <c r="I946" s="458"/>
      <c r="J946" s="458"/>
      <c r="K946" s="458"/>
      <c r="L946" s="458"/>
      <c r="M946" s="458"/>
      <c r="N946" s="458"/>
      <c r="O946" s="458"/>
      <c r="P946" s="458"/>
      <c r="Q946" s="458"/>
      <c r="R946" s="458"/>
      <c r="S946" s="458"/>
      <c r="T946" s="458"/>
      <c r="U946" s="458"/>
      <c r="V946" s="458"/>
      <c r="W946" s="458"/>
    </row>
    <row r="947" spans="1:23" ht="15.75" customHeight="1">
      <c r="A947" s="458"/>
      <c r="B947" s="458"/>
      <c r="C947" s="458"/>
      <c r="D947" s="458"/>
      <c r="E947" s="458"/>
      <c r="F947" s="458"/>
      <c r="G947" s="458"/>
      <c r="H947" s="458"/>
      <c r="I947" s="458"/>
      <c r="J947" s="458"/>
      <c r="K947" s="458"/>
      <c r="L947" s="458"/>
      <c r="M947" s="458"/>
      <c r="N947" s="458"/>
      <c r="O947" s="458"/>
      <c r="P947" s="458"/>
      <c r="Q947" s="458"/>
      <c r="R947" s="458"/>
      <c r="S947" s="458"/>
      <c r="T947" s="458"/>
      <c r="U947" s="458"/>
      <c r="V947" s="458"/>
      <c r="W947" s="458"/>
    </row>
    <row r="948" spans="1:23" ht="15.75" customHeight="1">
      <c r="A948" s="458"/>
      <c r="B948" s="458"/>
      <c r="C948" s="458"/>
      <c r="D948" s="458"/>
      <c r="E948" s="458"/>
      <c r="F948" s="458"/>
      <c r="G948" s="458"/>
      <c r="H948" s="458"/>
      <c r="I948" s="458"/>
      <c r="J948" s="458"/>
      <c r="K948" s="458"/>
      <c r="L948" s="458"/>
      <c r="M948" s="458"/>
      <c r="N948" s="458"/>
      <c r="O948" s="458"/>
      <c r="P948" s="458"/>
      <c r="Q948" s="458"/>
      <c r="R948" s="458"/>
      <c r="S948" s="458"/>
      <c r="T948" s="458"/>
      <c r="U948" s="458"/>
      <c r="V948" s="458"/>
      <c r="W948" s="458"/>
    </row>
    <row r="949" spans="1:23" ht="15.75" customHeight="1">
      <c r="A949" s="458"/>
      <c r="B949" s="458"/>
      <c r="C949" s="458"/>
      <c r="D949" s="458"/>
      <c r="E949" s="458"/>
      <c r="F949" s="458"/>
      <c r="G949" s="458"/>
      <c r="H949" s="458"/>
      <c r="I949" s="458"/>
      <c r="J949" s="458"/>
      <c r="K949" s="458"/>
      <c r="L949" s="458"/>
      <c r="M949" s="458"/>
      <c r="N949" s="458"/>
      <c r="O949" s="458"/>
      <c r="P949" s="458"/>
      <c r="Q949" s="458"/>
      <c r="R949" s="458"/>
      <c r="S949" s="458"/>
      <c r="T949" s="458"/>
      <c r="U949" s="458"/>
      <c r="V949" s="458"/>
      <c r="W949" s="458"/>
    </row>
    <row r="950" spans="1:23" ht="15.75" customHeight="1">
      <c r="A950" s="458"/>
      <c r="B950" s="458"/>
      <c r="C950" s="458"/>
      <c r="D950" s="458"/>
      <c r="E950" s="458"/>
      <c r="F950" s="458"/>
      <c r="G950" s="458"/>
      <c r="H950" s="458"/>
      <c r="I950" s="458"/>
      <c r="J950" s="458"/>
      <c r="K950" s="458"/>
      <c r="L950" s="458"/>
      <c r="M950" s="458"/>
      <c r="N950" s="458"/>
      <c r="O950" s="458"/>
      <c r="P950" s="458"/>
      <c r="Q950" s="458"/>
      <c r="R950" s="458"/>
      <c r="S950" s="458"/>
      <c r="T950" s="458"/>
      <c r="U950" s="458"/>
      <c r="V950" s="458"/>
      <c r="W950" s="458"/>
    </row>
    <row r="951" spans="1:23" ht="15.75" customHeight="1">
      <c r="A951" s="458"/>
      <c r="B951" s="458"/>
      <c r="C951" s="458"/>
      <c r="D951" s="458"/>
      <c r="E951" s="458"/>
      <c r="F951" s="458"/>
      <c r="G951" s="458"/>
      <c r="H951" s="458"/>
      <c r="I951" s="458"/>
      <c r="J951" s="458"/>
      <c r="K951" s="458"/>
      <c r="L951" s="458"/>
      <c r="M951" s="458"/>
      <c r="N951" s="458"/>
      <c r="O951" s="458"/>
      <c r="P951" s="458"/>
      <c r="Q951" s="458"/>
      <c r="R951" s="458"/>
      <c r="S951" s="458"/>
      <c r="T951" s="458"/>
      <c r="U951" s="458"/>
      <c r="V951" s="458"/>
      <c r="W951" s="458"/>
    </row>
    <row r="952" spans="1:23" ht="15.75" customHeight="1">
      <c r="A952" s="458"/>
      <c r="B952" s="458"/>
      <c r="C952" s="458"/>
      <c r="D952" s="458"/>
      <c r="E952" s="458"/>
      <c r="F952" s="458"/>
      <c r="G952" s="458"/>
      <c r="H952" s="458"/>
      <c r="I952" s="458"/>
      <c r="J952" s="458"/>
      <c r="K952" s="458"/>
      <c r="L952" s="458"/>
      <c r="M952" s="458"/>
      <c r="N952" s="458"/>
      <c r="O952" s="458"/>
      <c r="P952" s="458"/>
      <c r="Q952" s="458"/>
      <c r="R952" s="458"/>
      <c r="S952" s="458"/>
      <c r="T952" s="458"/>
      <c r="U952" s="458"/>
      <c r="V952" s="458"/>
      <c r="W952" s="458"/>
    </row>
    <row r="953" spans="1:23" ht="15.75" customHeight="1">
      <c r="A953" s="458"/>
      <c r="B953" s="458"/>
      <c r="C953" s="458"/>
      <c r="D953" s="458"/>
      <c r="E953" s="458"/>
      <c r="F953" s="458"/>
      <c r="G953" s="458"/>
      <c r="H953" s="458"/>
      <c r="I953" s="458"/>
      <c r="J953" s="458"/>
      <c r="K953" s="458"/>
      <c r="L953" s="458"/>
      <c r="M953" s="458"/>
      <c r="N953" s="458"/>
      <c r="O953" s="458"/>
      <c r="P953" s="458"/>
      <c r="Q953" s="458"/>
      <c r="R953" s="458"/>
      <c r="S953" s="458"/>
      <c r="T953" s="458"/>
      <c r="U953" s="458"/>
      <c r="V953" s="458"/>
      <c r="W953" s="458"/>
    </row>
    <row r="954" spans="1:23" ht="15.75" customHeight="1">
      <c r="A954" s="458"/>
      <c r="B954" s="458"/>
      <c r="C954" s="458"/>
      <c r="D954" s="458"/>
      <c r="E954" s="458"/>
      <c r="F954" s="458"/>
      <c r="G954" s="458"/>
      <c r="H954" s="458"/>
      <c r="I954" s="458"/>
      <c r="J954" s="458"/>
      <c r="K954" s="458"/>
      <c r="L954" s="458"/>
      <c r="M954" s="458"/>
      <c r="N954" s="458"/>
      <c r="O954" s="458"/>
      <c r="P954" s="458"/>
      <c r="Q954" s="458"/>
      <c r="R954" s="458"/>
      <c r="S954" s="458"/>
      <c r="T954" s="458"/>
      <c r="U954" s="458"/>
      <c r="V954" s="458"/>
      <c r="W954" s="458"/>
    </row>
    <row r="955" spans="1:23" ht="15.75" customHeight="1">
      <c r="A955" s="458"/>
      <c r="B955" s="458"/>
      <c r="C955" s="458"/>
      <c r="D955" s="458"/>
      <c r="E955" s="458"/>
      <c r="F955" s="458"/>
      <c r="G955" s="458"/>
      <c r="H955" s="458"/>
      <c r="I955" s="458"/>
      <c r="J955" s="458"/>
      <c r="K955" s="458"/>
      <c r="L955" s="458"/>
      <c r="M955" s="458"/>
      <c r="N955" s="458"/>
      <c r="O955" s="458"/>
      <c r="P955" s="458"/>
      <c r="Q955" s="458"/>
      <c r="R955" s="458"/>
      <c r="S955" s="458"/>
      <c r="T955" s="458"/>
      <c r="U955" s="458"/>
      <c r="V955" s="458"/>
      <c r="W955" s="458"/>
    </row>
    <row r="956" spans="1:23" ht="15.75" customHeight="1">
      <c r="A956" s="458"/>
      <c r="B956" s="458"/>
      <c r="C956" s="458"/>
      <c r="D956" s="458"/>
      <c r="E956" s="458"/>
      <c r="F956" s="458"/>
      <c r="G956" s="458"/>
      <c r="H956" s="458"/>
      <c r="I956" s="458"/>
      <c r="J956" s="458"/>
      <c r="K956" s="458"/>
      <c r="L956" s="458"/>
      <c r="M956" s="458"/>
      <c r="N956" s="458"/>
      <c r="O956" s="458"/>
      <c r="P956" s="458"/>
      <c r="Q956" s="458"/>
      <c r="R956" s="458"/>
      <c r="S956" s="458"/>
      <c r="T956" s="458"/>
      <c r="U956" s="458"/>
      <c r="V956" s="458"/>
      <c r="W956" s="458"/>
    </row>
    <row r="957" spans="1:23" ht="15.75" customHeight="1">
      <c r="A957" s="458"/>
      <c r="B957" s="458"/>
      <c r="C957" s="458"/>
      <c r="D957" s="458"/>
      <c r="E957" s="458"/>
      <c r="F957" s="458"/>
      <c r="G957" s="458"/>
      <c r="H957" s="458"/>
      <c r="I957" s="458"/>
      <c r="J957" s="458"/>
      <c r="K957" s="458"/>
      <c r="L957" s="458"/>
      <c r="M957" s="458"/>
      <c r="N957" s="458"/>
      <c r="O957" s="458"/>
      <c r="P957" s="458"/>
      <c r="Q957" s="458"/>
      <c r="R957" s="458"/>
      <c r="S957" s="458"/>
      <c r="T957" s="458"/>
      <c r="U957" s="458"/>
      <c r="V957" s="458"/>
      <c r="W957" s="458"/>
    </row>
    <row r="958" spans="1:23" ht="15.75" customHeight="1">
      <c r="A958" s="458"/>
      <c r="B958" s="458"/>
      <c r="C958" s="458"/>
      <c r="D958" s="458"/>
      <c r="E958" s="458"/>
      <c r="F958" s="458"/>
      <c r="G958" s="458"/>
      <c r="H958" s="458"/>
      <c r="I958" s="458"/>
      <c r="J958" s="458"/>
      <c r="K958" s="458"/>
      <c r="L958" s="458"/>
      <c r="M958" s="458"/>
      <c r="N958" s="458"/>
      <c r="O958" s="458"/>
      <c r="P958" s="458"/>
      <c r="Q958" s="458"/>
      <c r="R958" s="458"/>
      <c r="S958" s="458"/>
      <c r="T958" s="458"/>
      <c r="U958" s="458"/>
      <c r="V958" s="458"/>
      <c r="W958" s="458"/>
    </row>
    <row r="959" spans="1:23" ht="15.75" customHeight="1">
      <c r="A959" s="458"/>
      <c r="B959" s="458"/>
      <c r="C959" s="458"/>
      <c r="D959" s="458"/>
      <c r="E959" s="458"/>
      <c r="F959" s="458"/>
      <c r="G959" s="458"/>
      <c r="H959" s="458"/>
      <c r="I959" s="458"/>
      <c r="J959" s="458"/>
      <c r="K959" s="458"/>
      <c r="L959" s="458"/>
      <c r="M959" s="458"/>
      <c r="N959" s="458"/>
      <c r="O959" s="458"/>
      <c r="P959" s="458"/>
      <c r="Q959" s="458"/>
      <c r="R959" s="458"/>
      <c r="S959" s="458"/>
      <c r="T959" s="458"/>
      <c r="U959" s="458"/>
      <c r="V959" s="458"/>
      <c r="W959" s="458"/>
    </row>
    <row r="960" spans="1:23" ht="15.75" customHeight="1">
      <c r="A960" s="458"/>
      <c r="B960" s="458"/>
      <c r="C960" s="458"/>
      <c r="D960" s="458"/>
      <c r="E960" s="458"/>
      <c r="F960" s="458"/>
      <c r="G960" s="458"/>
      <c r="H960" s="458"/>
      <c r="I960" s="458"/>
      <c r="J960" s="458"/>
      <c r="K960" s="458"/>
      <c r="L960" s="458"/>
      <c r="M960" s="458"/>
      <c r="N960" s="458"/>
      <c r="O960" s="458"/>
      <c r="P960" s="458"/>
      <c r="Q960" s="458"/>
      <c r="R960" s="458"/>
      <c r="S960" s="458"/>
      <c r="T960" s="458"/>
      <c r="U960" s="458"/>
      <c r="V960" s="458"/>
      <c r="W960" s="458"/>
    </row>
    <row r="961" spans="1:23" ht="15.75" customHeight="1">
      <c r="A961" s="458"/>
      <c r="B961" s="458"/>
      <c r="C961" s="458"/>
      <c r="D961" s="458"/>
      <c r="E961" s="458"/>
      <c r="F961" s="458"/>
      <c r="G961" s="458"/>
      <c r="H961" s="458"/>
      <c r="I961" s="458"/>
      <c r="J961" s="458"/>
      <c r="K961" s="458"/>
      <c r="L961" s="458"/>
      <c r="M961" s="458"/>
      <c r="N961" s="458"/>
      <c r="O961" s="458"/>
      <c r="P961" s="458"/>
      <c r="Q961" s="458"/>
      <c r="R961" s="458"/>
      <c r="S961" s="458"/>
      <c r="T961" s="458"/>
      <c r="U961" s="458"/>
      <c r="V961" s="458"/>
      <c r="W961" s="458"/>
    </row>
    <row r="962" spans="1:23" ht="15.75" customHeight="1">
      <c r="A962" s="458"/>
      <c r="B962" s="458"/>
      <c r="C962" s="458"/>
      <c r="D962" s="458"/>
      <c r="E962" s="458"/>
      <c r="F962" s="458"/>
      <c r="G962" s="458"/>
      <c r="H962" s="458"/>
      <c r="I962" s="458"/>
      <c r="J962" s="458"/>
      <c r="K962" s="458"/>
      <c r="L962" s="458"/>
      <c r="M962" s="458"/>
      <c r="N962" s="458"/>
      <c r="O962" s="458"/>
      <c r="P962" s="458"/>
      <c r="Q962" s="458"/>
      <c r="R962" s="458"/>
      <c r="S962" s="458"/>
      <c r="T962" s="458"/>
      <c r="U962" s="458"/>
      <c r="V962" s="458"/>
      <c r="W962" s="458"/>
    </row>
    <row r="963" spans="1:23" ht="15.75" customHeight="1">
      <c r="A963" s="458"/>
      <c r="B963" s="458"/>
      <c r="C963" s="458"/>
      <c r="D963" s="458"/>
      <c r="E963" s="458"/>
      <c r="F963" s="458"/>
      <c r="G963" s="458"/>
      <c r="H963" s="458"/>
      <c r="I963" s="458"/>
      <c r="J963" s="458"/>
      <c r="K963" s="458"/>
      <c r="L963" s="458"/>
      <c r="M963" s="458"/>
      <c r="N963" s="458"/>
      <c r="O963" s="458"/>
      <c r="P963" s="458"/>
      <c r="Q963" s="458"/>
      <c r="R963" s="458"/>
      <c r="S963" s="458"/>
      <c r="T963" s="458"/>
      <c r="U963" s="458"/>
      <c r="V963" s="458"/>
      <c r="W963" s="458"/>
    </row>
    <row r="964" spans="1:23" ht="15.75" customHeight="1">
      <c r="A964" s="458"/>
      <c r="B964" s="458"/>
      <c r="C964" s="458"/>
      <c r="D964" s="458"/>
      <c r="E964" s="458"/>
      <c r="F964" s="458"/>
      <c r="G964" s="458"/>
      <c r="H964" s="458"/>
      <c r="I964" s="458"/>
      <c r="J964" s="458"/>
      <c r="K964" s="458"/>
      <c r="L964" s="458"/>
      <c r="M964" s="458"/>
      <c r="N964" s="458"/>
      <c r="O964" s="458"/>
      <c r="P964" s="458"/>
      <c r="Q964" s="458"/>
      <c r="R964" s="458"/>
      <c r="S964" s="458"/>
      <c r="T964" s="458"/>
      <c r="U964" s="458"/>
      <c r="V964" s="458"/>
      <c r="W964" s="458"/>
    </row>
    <row r="965" spans="1:23" ht="15.75" customHeight="1">
      <c r="A965" s="458"/>
      <c r="B965" s="458"/>
      <c r="C965" s="458"/>
      <c r="D965" s="458"/>
      <c r="E965" s="458"/>
      <c r="F965" s="458"/>
      <c r="G965" s="458"/>
      <c r="H965" s="458"/>
      <c r="I965" s="458"/>
      <c r="J965" s="458"/>
      <c r="K965" s="458"/>
      <c r="L965" s="458"/>
      <c r="M965" s="458"/>
      <c r="N965" s="458"/>
      <c r="O965" s="458"/>
      <c r="P965" s="458"/>
      <c r="Q965" s="458"/>
      <c r="R965" s="458"/>
      <c r="S965" s="458"/>
      <c r="T965" s="458"/>
      <c r="U965" s="458"/>
      <c r="V965" s="458"/>
      <c r="W965" s="458"/>
    </row>
    <row r="966" spans="1:23" ht="15.75" customHeight="1">
      <c r="A966" s="458"/>
      <c r="B966" s="458"/>
      <c r="C966" s="458"/>
      <c r="D966" s="458"/>
      <c r="E966" s="458"/>
      <c r="F966" s="458"/>
      <c r="G966" s="458"/>
      <c r="H966" s="458"/>
      <c r="I966" s="458"/>
      <c r="J966" s="458"/>
      <c r="K966" s="458"/>
      <c r="L966" s="458"/>
      <c r="M966" s="458"/>
      <c r="N966" s="458"/>
      <c r="O966" s="458"/>
      <c r="P966" s="458"/>
      <c r="Q966" s="458"/>
      <c r="R966" s="458"/>
      <c r="S966" s="458"/>
      <c r="T966" s="458"/>
      <c r="U966" s="458"/>
      <c r="V966" s="458"/>
      <c r="W966" s="458"/>
    </row>
    <row r="967" spans="1:23" ht="15.75" customHeight="1">
      <c r="A967" s="458"/>
      <c r="B967" s="458"/>
      <c r="C967" s="458"/>
      <c r="D967" s="458"/>
      <c r="E967" s="458"/>
      <c r="F967" s="458"/>
      <c r="G967" s="458"/>
      <c r="H967" s="458"/>
      <c r="I967" s="458"/>
      <c r="J967" s="458"/>
      <c r="K967" s="458"/>
      <c r="L967" s="458"/>
      <c r="M967" s="458"/>
      <c r="N967" s="458"/>
      <c r="O967" s="458"/>
      <c r="P967" s="458"/>
      <c r="Q967" s="458"/>
      <c r="R967" s="458"/>
      <c r="S967" s="458"/>
      <c r="T967" s="458"/>
      <c r="U967" s="458"/>
      <c r="V967" s="458"/>
      <c r="W967" s="458"/>
    </row>
    <row r="968" spans="1:23" ht="15.75" customHeight="1">
      <c r="A968" s="458"/>
      <c r="B968" s="458"/>
      <c r="C968" s="458"/>
      <c r="D968" s="458"/>
      <c r="E968" s="458"/>
      <c r="F968" s="458"/>
      <c r="G968" s="458"/>
      <c r="H968" s="458"/>
      <c r="I968" s="458"/>
      <c r="J968" s="458"/>
      <c r="K968" s="458"/>
      <c r="L968" s="458"/>
      <c r="M968" s="458"/>
      <c r="N968" s="458"/>
      <c r="O968" s="458"/>
      <c r="P968" s="458"/>
      <c r="Q968" s="458"/>
      <c r="R968" s="458"/>
      <c r="S968" s="458"/>
      <c r="T968" s="458"/>
      <c r="U968" s="458"/>
      <c r="V968" s="458"/>
      <c r="W968" s="458"/>
    </row>
    <row r="969" spans="1:23" ht="15.75" customHeight="1">
      <c r="A969" s="458"/>
      <c r="B969" s="458"/>
      <c r="C969" s="458"/>
      <c r="D969" s="458"/>
      <c r="E969" s="458"/>
      <c r="F969" s="458"/>
      <c r="G969" s="458"/>
      <c r="H969" s="458"/>
      <c r="I969" s="458"/>
      <c r="J969" s="458"/>
      <c r="K969" s="458"/>
      <c r="L969" s="458"/>
      <c r="M969" s="458"/>
      <c r="N969" s="458"/>
      <c r="O969" s="458"/>
      <c r="P969" s="458"/>
      <c r="Q969" s="458"/>
      <c r="R969" s="458"/>
      <c r="S969" s="458"/>
      <c r="T969" s="458"/>
      <c r="U969" s="458"/>
      <c r="V969" s="458"/>
      <c r="W969" s="458"/>
    </row>
    <row r="970" spans="1:23" ht="15.75" customHeight="1">
      <c r="A970" s="458"/>
      <c r="B970" s="458"/>
      <c r="C970" s="458"/>
      <c r="D970" s="458"/>
      <c r="E970" s="458"/>
      <c r="F970" s="458"/>
      <c r="G970" s="458"/>
      <c r="H970" s="458"/>
      <c r="I970" s="458"/>
      <c r="J970" s="458"/>
      <c r="K970" s="458"/>
      <c r="L970" s="458"/>
      <c r="M970" s="458"/>
      <c r="N970" s="458"/>
      <c r="O970" s="458"/>
      <c r="P970" s="458"/>
      <c r="Q970" s="458"/>
      <c r="R970" s="458"/>
      <c r="S970" s="458"/>
      <c r="T970" s="458"/>
      <c r="U970" s="458"/>
      <c r="V970" s="458"/>
      <c r="W970" s="458"/>
    </row>
    <row r="971" spans="1:23" ht="15.75" customHeight="1">
      <c r="A971" s="458"/>
      <c r="B971" s="458"/>
      <c r="C971" s="458"/>
      <c r="D971" s="458"/>
      <c r="E971" s="458"/>
      <c r="F971" s="458"/>
      <c r="G971" s="458"/>
      <c r="H971" s="458"/>
      <c r="I971" s="458"/>
      <c r="J971" s="458"/>
      <c r="K971" s="458"/>
      <c r="L971" s="458"/>
      <c r="M971" s="458"/>
      <c r="N971" s="458"/>
      <c r="O971" s="458"/>
      <c r="P971" s="458"/>
      <c r="Q971" s="458"/>
      <c r="R971" s="458"/>
      <c r="S971" s="458"/>
      <c r="T971" s="458"/>
      <c r="U971" s="458"/>
      <c r="V971" s="458"/>
      <c r="W971" s="458"/>
    </row>
    <row r="972" spans="1:23" ht="15.75" customHeight="1">
      <c r="A972" s="458"/>
      <c r="B972" s="458"/>
      <c r="C972" s="458"/>
      <c r="D972" s="458"/>
      <c r="E972" s="458"/>
      <c r="F972" s="458"/>
      <c r="G972" s="458"/>
      <c r="H972" s="458"/>
      <c r="I972" s="458"/>
      <c r="J972" s="458"/>
      <c r="K972" s="458"/>
      <c r="L972" s="458"/>
      <c r="M972" s="458"/>
      <c r="N972" s="458"/>
      <c r="O972" s="458"/>
      <c r="P972" s="458"/>
      <c r="Q972" s="458"/>
      <c r="R972" s="458"/>
      <c r="S972" s="458"/>
      <c r="T972" s="458"/>
      <c r="U972" s="458"/>
      <c r="V972" s="458"/>
      <c r="W972" s="458"/>
    </row>
    <row r="973" spans="1:23" ht="15.75" customHeight="1">
      <c r="A973" s="458"/>
      <c r="B973" s="458"/>
      <c r="C973" s="458"/>
      <c r="D973" s="458"/>
      <c r="E973" s="458"/>
      <c r="F973" s="458"/>
      <c r="G973" s="458"/>
      <c r="H973" s="458"/>
      <c r="I973" s="458"/>
      <c r="J973" s="458"/>
      <c r="K973" s="458"/>
      <c r="L973" s="458"/>
      <c r="M973" s="458"/>
      <c r="N973" s="458"/>
      <c r="O973" s="458"/>
      <c r="P973" s="458"/>
      <c r="Q973" s="458"/>
      <c r="R973" s="458"/>
      <c r="S973" s="458"/>
      <c r="T973" s="458"/>
      <c r="U973" s="458"/>
      <c r="V973" s="458"/>
      <c r="W973" s="458"/>
    </row>
    <row r="974" spans="1:23" ht="15.75" customHeight="1">
      <c r="A974" s="458"/>
      <c r="B974" s="458"/>
      <c r="C974" s="458"/>
      <c r="D974" s="458"/>
      <c r="E974" s="458"/>
      <c r="F974" s="458"/>
      <c r="G974" s="458"/>
      <c r="H974" s="458"/>
      <c r="I974" s="458"/>
      <c r="J974" s="458"/>
      <c r="K974" s="458"/>
      <c r="L974" s="458"/>
      <c r="M974" s="458"/>
      <c r="N974" s="458"/>
      <c r="O974" s="458"/>
      <c r="P974" s="458"/>
      <c r="Q974" s="458"/>
      <c r="R974" s="458"/>
      <c r="S974" s="458"/>
      <c r="T974" s="458"/>
      <c r="U974" s="458"/>
      <c r="V974" s="458"/>
      <c r="W974" s="458"/>
    </row>
    <row r="975" spans="1:23" ht="15.75" customHeight="1">
      <c r="A975" s="458"/>
      <c r="B975" s="458"/>
      <c r="C975" s="458"/>
      <c r="D975" s="458"/>
      <c r="E975" s="458"/>
      <c r="F975" s="458"/>
      <c r="G975" s="458"/>
      <c r="H975" s="458"/>
      <c r="I975" s="458"/>
      <c r="J975" s="458"/>
      <c r="K975" s="458"/>
      <c r="L975" s="458"/>
      <c r="M975" s="458"/>
      <c r="N975" s="458"/>
      <c r="O975" s="458"/>
      <c r="P975" s="458"/>
      <c r="Q975" s="458"/>
      <c r="R975" s="458"/>
      <c r="S975" s="458"/>
      <c r="T975" s="458"/>
      <c r="U975" s="458"/>
      <c r="V975" s="458"/>
      <c r="W975" s="458"/>
    </row>
    <row r="976" spans="1:23" ht="15.75" customHeight="1">
      <c r="A976" s="458"/>
      <c r="B976" s="458"/>
      <c r="C976" s="458"/>
      <c r="D976" s="458"/>
      <c r="E976" s="458"/>
      <c r="F976" s="458"/>
      <c r="G976" s="458"/>
      <c r="H976" s="458"/>
      <c r="I976" s="458"/>
      <c r="J976" s="458"/>
      <c r="K976" s="458"/>
      <c r="L976" s="458"/>
      <c r="M976" s="458"/>
      <c r="N976" s="458"/>
      <c r="O976" s="458"/>
      <c r="P976" s="458"/>
      <c r="Q976" s="458"/>
      <c r="R976" s="458"/>
      <c r="S976" s="458"/>
      <c r="T976" s="458"/>
      <c r="U976" s="458"/>
      <c r="V976" s="458"/>
      <c r="W976" s="458"/>
    </row>
    <row r="977" spans="1:23" ht="15.75" customHeight="1">
      <c r="A977" s="458"/>
      <c r="B977" s="458"/>
      <c r="C977" s="458"/>
      <c r="D977" s="458"/>
      <c r="E977" s="458"/>
      <c r="F977" s="458"/>
      <c r="G977" s="458"/>
      <c r="H977" s="458"/>
      <c r="I977" s="458"/>
      <c r="J977" s="458"/>
      <c r="K977" s="458"/>
      <c r="L977" s="458"/>
      <c r="M977" s="458"/>
      <c r="N977" s="458"/>
      <c r="O977" s="458"/>
      <c r="P977" s="458"/>
      <c r="Q977" s="458"/>
      <c r="R977" s="458"/>
      <c r="S977" s="458"/>
      <c r="T977" s="458"/>
      <c r="U977" s="458"/>
      <c r="V977" s="458"/>
      <c r="W977" s="458"/>
    </row>
    <row r="978" spans="1:23" ht="15.75" customHeight="1">
      <c r="A978" s="458"/>
      <c r="B978" s="458"/>
      <c r="C978" s="458"/>
      <c r="D978" s="458"/>
      <c r="E978" s="458"/>
      <c r="F978" s="458"/>
      <c r="G978" s="458"/>
      <c r="H978" s="458"/>
      <c r="I978" s="458"/>
      <c r="J978" s="458"/>
      <c r="K978" s="458"/>
      <c r="L978" s="458"/>
      <c r="M978" s="458"/>
      <c r="N978" s="458"/>
      <c r="O978" s="458"/>
      <c r="P978" s="458"/>
      <c r="Q978" s="458"/>
      <c r="R978" s="458"/>
      <c r="S978" s="458"/>
      <c r="T978" s="458"/>
      <c r="U978" s="458"/>
      <c r="V978" s="458"/>
      <c r="W978" s="458"/>
    </row>
    <row r="979" spans="1:23" ht="15.75" customHeight="1">
      <c r="A979" s="458"/>
      <c r="B979" s="458"/>
      <c r="C979" s="458"/>
      <c r="D979" s="458"/>
      <c r="E979" s="458"/>
      <c r="F979" s="458"/>
      <c r="G979" s="458"/>
      <c r="H979" s="458"/>
      <c r="I979" s="458"/>
      <c r="J979" s="458"/>
      <c r="K979" s="458"/>
      <c r="L979" s="458"/>
      <c r="M979" s="458"/>
      <c r="N979" s="458"/>
      <c r="O979" s="458"/>
      <c r="P979" s="458"/>
      <c r="Q979" s="458"/>
      <c r="R979" s="458"/>
      <c r="S979" s="458"/>
      <c r="T979" s="458"/>
      <c r="U979" s="458"/>
      <c r="V979" s="458"/>
      <c r="W979" s="458"/>
    </row>
    <row r="980" spans="1:23" ht="15.75" customHeight="1">
      <c r="A980" s="458"/>
      <c r="B980" s="458"/>
      <c r="C980" s="458"/>
      <c r="D980" s="458"/>
      <c r="E980" s="458"/>
      <c r="F980" s="458"/>
      <c r="G980" s="458"/>
      <c r="H980" s="458"/>
      <c r="I980" s="458"/>
      <c r="J980" s="458"/>
      <c r="K980" s="458"/>
      <c r="L980" s="458"/>
      <c r="M980" s="458"/>
      <c r="N980" s="458"/>
      <c r="O980" s="458"/>
      <c r="P980" s="458"/>
      <c r="Q980" s="458"/>
      <c r="R980" s="458"/>
      <c r="S980" s="458"/>
      <c r="T980" s="458"/>
      <c r="U980" s="458"/>
      <c r="V980" s="458"/>
      <c r="W980" s="458"/>
    </row>
    <row r="981" spans="1:23" ht="15.75" customHeight="1">
      <c r="A981" s="458"/>
      <c r="B981" s="458"/>
      <c r="C981" s="458"/>
      <c r="D981" s="458"/>
      <c r="E981" s="458"/>
      <c r="F981" s="458"/>
      <c r="G981" s="458"/>
      <c r="H981" s="458"/>
      <c r="I981" s="458"/>
      <c r="J981" s="458"/>
      <c r="K981" s="458"/>
      <c r="L981" s="458"/>
      <c r="M981" s="458"/>
      <c r="N981" s="458"/>
      <c r="O981" s="458"/>
      <c r="P981" s="458"/>
      <c r="Q981" s="458"/>
      <c r="R981" s="458"/>
      <c r="S981" s="458"/>
      <c r="T981" s="458"/>
      <c r="U981" s="458"/>
      <c r="V981" s="458"/>
      <c r="W981" s="458"/>
    </row>
    <row r="982" spans="1:23" ht="15.75" customHeight="1">
      <c r="A982" s="458"/>
      <c r="B982" s="458"/>
      <c r="C982" s="458"/>
      <c r="D982" s="458"/>
      <c r="E982" s="458"/>
      <c r="F982" s="458"/>
      <c r="G982" s="458"/>
      <c r="H982" s="458"/>
      <c r="I982" s="458"/>
      <c r="J982" s="458"/>
      <c r="K982" s="458"/>
      <c r="L982" s="458"/>
      <c r="M982" s="458"/>
      <c r="N982" s="458"/>
      <c r="O982" s="458"/>
      <c r="P982" s="458"/>
      <c r="Q982" s="458"/>
      <c r="R982" s="458"/>
      <c r="S982" s="458"/>
      <c r="T982" s="458"/>
      <c r="U982" s="458"/>
      <c r="V982" s="458"/>
      <c r="W982" s="458"/>
    </row>
    <row r="983" spans="1:23" ht="15.75" customHeight="1">
      <c r="A983" s="458"/>
      <c r="B983" s="458"/>
      <c r="C983" s="458"/>
      <c r="D983" s="458"/>
      <c r="E983" s="458"/>
      <c r="F983" s="458"/>
      <c r="G983" s="458"/>
      <c r="H983" s="458"/>
      <c r="I983" s="458"/>
      <c r="J983" s="458"/>
      <c r="K983" s="458"/>
      <c r="L983" s="458"/>
      <c r="M983" s="458"/>
      <c r="N983" s="458"/>
      <c r="O983" s="458"/>
      <c r="P983" s="458"/>
      <c r="Q983" s="458"/>
      <c r="R983" s="458"/>
      <c r="S983" s="458"/>
      <c r="T983" s="458"/>
      <c r="U983" s="458"/>
      <c r="V983" s="458"/>
      <c r="W983" s="458"/>
    </row>
    <row r="984" spans="1:23" ht="15.75" customHeight="1">
      <c r="A984" s="458"/>
      <c r="B984" s="458"/>
      <c r="C984" s="458"/>
      <c r="D984" s="458"/>
      <c r="E984" s="458"/>
      <c r="F984" s="458"/>
      <c r="G984" s="458"/>
      <c r="H984" s="458"/>
      <c r="I984" s="458"/>
      <c r="J984" s="458"/>
      <c r="K984" s="458"/>
      <c r="L984" s="458"/>
      <c r="M984" s="458"/>
      <c r="N984" s="458"/>
      <c r="O984" s="458"/>
      <c r="P984" s="458"/>
      <c r="Q984" s="458"/>
      <c r="R984" s="458"/>
      <c r="S984" s="458"/>
      <c r="T984" s="458"/>
      <c r="U984" s="458"/>
      <c r="V984" s="458"/>
      <c r="W984" s="458"/>
    </row>
    <row r="985" spans="1:23" ht="15.75" customHeight="1">
      <c r="A985" s="458"/>
      <c r="B985" s="458"/>
      <c r="C985" s="458"/>
      <c r="D985" s="458"/>
      <c r="E985" s="458"/>
      <c r="F985" s="458"/>
      <c r="G985" s="458"/>
      <c r="H985" s="458"/>
      <c r="I985" s="458"/>
      <c r="J985" s="458"/>
      <c r="K985" s="458"/>
      <c r="L985" s="458"/>
      <c r="M985" s="458"/>
      <c r="N985" s="458"/>
      <c r="O985" s="458"/>
      <c r="P985" s="458"/>
      <c r="Q985" s="458"/>
      <c r="R985" s="458"/>
      <c r="S985" s="458"/>
      <c r="T985" s="458"/>
      <c r="U985" s="458"/>
      <c r="V985" s="458"/>
      <c r="W985" s="458"/>
    </row>
    <row r="986" spans="1:23" ht="15.75" customHeight="1">
      <c r="A986" s="458"/>
      <c r="B986" s="458"/>
      <c r="C986" s="458"/>
      <c r="D986" s="458"/>
      <c r="E986" s="458"/>
      <c r="F986" s="458"/>
      <c r="G986" s="458"/>
      <c r="H986" s="458"/>
      <c r="I986" s="458"/>
      <c r="J986" s="458"/>
      <c r="K986" s="458"/>
      <c r="L986" s="458"/>
      <c r="M986" s="458"/>
      <c r="N986" s="458"/>
      <c r="O986" s="458"/>
      <c r="P986" s="458"/>
      <c r="Q986" s="458"/>
      <c r="R986" s="458"/>
      <c r="S986" s="458"/>
      <c r="T986" s="458"/>
      <c r="U986" s="458"/>
      <c r="V986" s="458"/>
      <c r="W986" s="458"/>
    </row>
    <row r="987" spans="1:23" ht="15.75" customHeight="1">
      <c r="A987" s="458"/>
      <c r="B987" s="458"/>
      <c r="C987" s="458"/>
      <c r="D987" s="458"/>
      <c r="E987" s="458"/>
      <c r="F987" s="458"/>
      <c r="G987" s="458"/>
      <c r="H987" s="458"/>
      <c r="I987" s="458"/>
      <c r="J987" s="458"/>
      <c r="K987" s="458"/>
      <c r="L987" s="458"/>
      <c r="M987" s="458"/>
      <c r="N987" s="458"/>
      <c r="O987" s="458"/>
      <c r="P987" s="458"/>
      <c r="Q987" s="458"/>
      <c r="R987" s="458"/>
      <c r="S987" s="458"/>
      <c r="T987" s="458"/>
      <c r="U987" s="458"/>
      <c r="V987" s="458"/>
      <c r="W987" s="458"/>
    </row>
    <row r="988" spans="1:23" ht="15.75" customHeight="1">
      <c r="A988" s="458"/>
      <c r="B988" s="458"/>
      <c r="C988" s="458"/>
      <c r="D988" s="458"/>
      <c r="E988" s="458"/>
      <c r="F988" s="458"/>
      <c r="G988" s="458"/>
      <c r="H988" s="458"/>
      <c r="I988" s="458"/>
      <c r="J988" s="458"/>
      <c r="K988" s="458"/>
      <c r="L988" s="458"/>
      <c r="M988" s="458"/>
      <c r="N988" s="458"/>
      <c r="O988" s="458"/>
      <c r="P988" s="458"/>
      <c r="Q988" s="458"/>
      <c r="R988" s="458"/>
      <c r="S988" s="458"/>
      <c r="T988" s="458"/>
      <c r="U988" s="458"/>
      <c r="V988" s="458"/>
      <c r="W988" s="458"/>
    </row>
    <row r="989" spans="1:23" ht="15.75" customHeight="1">
      <c r="A989" s="458"/>
      <c r="B989" s="458"/>
      <c r="C989" s="458"/>
      <c r="D989" s="458"/>
      <c r="E989" s="458"/>
      <c r="F989" s="458"/>
      <c r="G989" s="458"/>
      <c r="H989" s="458"/>
      <c r="I989" s="458"/>
      <c r="J989" s="458"/>
      <c r="K989" s="458"/>
      <c r="L989" s="458"/>
      <c r="M989" s="458"/>
      <c r="N989" s="458"/>
      <c r="O989" s="458"/>
      <c r="P989" s="458"/>
      <c r="Q989" s="458"/>
      <c r="R989" s="458"/>
      <c r="S989" s="458"/>
      <c r="T989" s="458"/>
      <c r="U989" s="458"/>
      <c r="V989" s="458"/>
      <c r="W989" s="458"/>
    </row>
    <row r="990" spans="1:23" ht="15.75" customHeight="1">
      <c r="A990" s="458"/>
      <c r="B990" s="458"/>
      <c r="C990" s="458"/>
      <c r="D990" s="458"/>
      <c r="E990" s="458"/>
      <c r="F990" s="458"/>
      <c r="G990" s="458"/>
      <c r="H990" s="458"/>
      <c r="I990" s="458"/>
      <c r="J990" s="458"/>
      <c r="K990" s="458"/>
      <c r="L990" s="458"/>
      <c r="M990" s="458"/>
      <c r="N990" s="458"/>
      <c r="O990" s="458"/>
      <c r="P990" s="458"/>
      <c r="Q990" s="458"/>
      <c r="R990" s="458"/>
      <c r="S990" s="458"/>
      <c r="T990" s="458"/>
      <c r="U990" s="458"/>
      <c r="V990" s="458"/>
      <c r="W990" s="458"/>
    </row>
    <row r="991" spans="1:23" ht="15.75" customHeight="1">
      <c r="A991" s="458"/>
      <c r="B991" s="458"/>
      <c r="C991" s="458"/>
      <c r="D991" s="458"/>
      <c r="E991" s="458"/>
      <c r="F991" s="458"/>
      <c r="G991" s="458"/>
      <c r="H991" s="458"/>
      <c r="I991" s="458"/>
      <c r="J991" s="458"/>
      <c r="K991" s="458"/>
      <c r="L991" s="458"/>
      <c r="M991" s="458"/>
      <c r="N991" s="458"/>
      <c r="O991" s="458"/>
      <c r="P991" s="458"/>
      <c r="Q991" s="458"/>
      <c r="R991" s="458"/>
      <c r="S991" s="458"/>
      <c r="T991" s="458"/>
      <c r="U991" s="458"/>
      <c r="V991" s="458"/>
      <c r="W991" s="458"/>
    </row>
    <row r="992" spans="1:23" ht="15.75" customHeight="1">
      <c r="A992" s="458"/>
      <c r="B992" s="458"/>
      <c r="C992" s="458"/>
      <c r="D992" s="458"/>
      <c r="E992" s="458"/>
      <c r="F992" s="458"/>
      <c r="G992" s="458"/>
      <c r="H992" s="458"/>
      <c r="I992" s="458"/>
      <c r="J992" s="458"/>
      <c r="K992" s="458"/>
      <c r="L992" s="458"/>
      <c r="M992" s="458"/>
      <c r="N992" s="458"/>
      <c r="O992" s="458"/>
      <c r="P992" s="458"/>
      <c r="Q992" s="458"/>
      <c r="R992" s="458"/>
      <c r="S992" s="458"/>
      <c r="T992" s="458"/>
      <c r="U992" s="458"/>
      <c r="V992" s="458"/>
      <c r="W992" s="458"/>
    </row>
    <row r="993" spans="1:23" ht="15.75" customHeight="1">
      <c r="A993" s="458"/>
      <c r="B993" s="458"/>
      <c r="C993" s="458"/>
      <c r="D993" s="458"/>
      <c r="E993" s="458"/>
      <c r="F993" s="458"/>
      <c r="G993" s="458"/>
      <c r="H993" s="458"/>
      <c r="I993" s="458"/>
      <c r="J993" s="458"/>
      <c r="K993" s="458"/>
      <c r="L993" s="458"/>
      <c r="M993" s="458"/>
      <c r="N993" s="458"/>
      <c r="O993" s="458"/>
      <c r="P993" s="458"/>
      <c r="Q993" s="458"/>
      <c r="R993" s="458"/>
      <c r="S993" s="458"/>
      <c r="T993" s="458"/>
      <c r="U993" s="458"/>
      <c r="V993" s="458"/>
      <c r="W993" s="458"/>
    </row>
    <row r="994" spans="1:23" ht="15.75" customHeight="1">
      <c r="A994" s="458"/>
      <c r="B994" s="458"/>
      <c r="C994" s="458"/>
      <c r="D994" s="458"/>
      <c r="E994" s="458"/>
      <c r="F994" s="458"/>
      <c r="G994" s="458"/>
      <c r="H994" s="458"/>
      <c r="I994" s="458"/>
      <c r="J994" s="458"/>
      <c r="K994" s="458"/>
      <c r="L994" s="458"/>
      <c r="M994" s="458"/>
      <c r="N994" s="458"/>
      <c r="O994" s="458"/>
      <c r="P994" s="458"/>
      <c r="Q994" s="458"/>
      <c r="R994" s="458"/>
      <c r="S994" s="458"/>
      <c r="T994" s="458"/>
      <c r="U994" s="458"/>
      <c r="V994" s="458"/>
      <c r="W994" s="458"/>
    </row>
    <row r="995" spans="1:23" ht="15.75" customHeight="1">
      <c r="A995" s="458"/>
      <c r="B995" s="458"/>
      <c r="C995" s="458"/>
      <c r="D995" s="458"/>
      <c r="E995" s="458"/>
      <c r="F995" s="458"/>
      <c r="G995" s="458"/>
      <c r="H995" s="458"/>
      <c r="I995" s="458"/>
      <c r="J995" s="458"/>
      <c r="K995" s="458"/>
      <c r="L995" s="458"/>
      <c r="M995" s="458"/>
      <c r="N995" s="458"/>
      <c r="O995" s="458"/>
      <c r="P995" s="458"/>
      <c r="Q995" s="458"/>
      <c r="R995" s="458"/>
      <c r="S995" s="458"/>
      <c r="T995" s="458"/>
      <c r="U995" s="458"/>
      <c r="V995" s="458"/>
      <c r="W995" s="458"/>
    </row>
    <row r="996" spans="1:23" ht="15.75" customHeight="1">
      <c r="A996" s="458"/>
      <c r="B996" s="458"/>
      <c r="C996" s="458"/>
      <c r="D996" s="458"/>
      <c r="E996" s="458"/>
      <c r="F996" s="458"/>
      <c r="G996" s="458"/>
      <c r="H996" s="458"/>
      <c r="K996" s="458"/>
      <c r="L996" s="458"/>
      <c r="M996" s="458"/>
      <c r="N996" s="458"/>
      <c r="O996" s="458"/>
      <c r="P996" s="458"/>
      <c r="Q996" s="458"/>
      <c r="R996" s="458"/>
      <c r="S996" s="458"/>
      <c r="T996" s="458"/>
      <c r="U996" s="458"/>
      <c r="V996" s="458"/>
      <c r="W996" s="458"/>
    </row>
    <row r="997" spans="1:23" ht="15.75" customHeight="1">
      <c r="A997" s="458"/>
      <c r="B997" s="458"/>
      <c r="C997" s="458"/>
      <c r="D997" s="458"/>
      <c r="E997" s="458"/>
      <c r="F997" s="458"/>
      <c r="G997" s="458"/>
      <c r="H997" s="458"/>
      <c r="K997" s="458"/>
      <c r="L997" s="458"/>
      <c r="M997" s="458"/>
      <c r="N997" s="458"/>
      <c r="O997" s="458"/>
      <c r="P997" s="458"/>
      <c r="Q997" s="458"/>
      <c r="R997" s="458"/>
      <c r="S997" s="458"/>
      <c r="T997" s="458"/>
      <c r="U997" s="458"/>
      <c r="V997" s="458"/>
      <c r="W997" s="458"/>
    </row>
    <row r="998" spans="1:23" ht="15.75" customHeight="1">
      <c r="A998" s="458"/>
      <c r="B998" s="458"/>
      <c r="C998" s="458"/>
      <c r="D998" s="458"/>
      <c r="E998" s="458"/>
      <c r="F998" s="458"/>
      <c r="G998" s="458"/>
      <c r="H998" s="458"/>
      <c r="K998" s="458"/>
      <c r="L998" s="458"/>
      <c r="M998" s="458"/>
      <c r="N998" s="458"/>
      <c r="O998" s="458"/>
      <c r="P998" s="458"/>
      <c r="Q998" s="458"/>
      <c r="R998" s="458"/>
      <c r="S998" s="458"/>
      <c r="T998" s="458"/>
      <c r="U998" s="458"/>
      <c r="V998" s="458"/>
      <c r="W998" s="458"/>
    </row>
    <row r="999" spans="1:23" ht="15.75" customHeight="1">
      <c r="A999" s="458"/>
      <c r="B999" s="458"/>
      <c r="C999" s="458"/>
      <c r="D999" s="458"/>
      <c r="E999" s="458"/>
      <c r="F999" s="458"/>
      <c r="G999" s="458"/>
      <c r="H999" s="458"/>
      <c r="K999" s="458"/>
      <c r="L999" s="458"/>
      <c r="M999" s="458"/>
      <c r="N999" s="458"/>
      <c r="O999" s="458"/>
      <c r="P999" s="458"/>
      <c r="Q999" s="458"/>
      <c r="R999" s="458"/>
      <c r="S999" s="458"/>
      <c r="T999" s="458"/>
      <c r="U999" s="458"/>
      <c r="V999" s="458"/>
      <c r="W999" s="458"/>
    </row>
    <row r="1000" spans="1:23" ht="15.75" customHeight="1">
      <c r="A1000" s="458"/>
      <c r="B1000" s="458"/>
      <c r="C1000" s="458"/>
      <c r="D1000" s="458"/>
      <c r="E1000" s="458"/>
      <c r="F1000" s="458"/>
      <c r="G1000" s="458"/>
      <c r="H1000" s="458"/>
      <c r="K1000" s="458"/>
      <c r="L1000" s="458"/>
      <c r="M1000" s="458"/>
      <c r="N1000" s="458"/>
      <c r="O1000" s="458"/>
      <c r="P1000" s="458"/>
      <c r="Q1000" s="458"/>
      <c r="R1000" s="458"/>
      <c r="S1000" s="458"/>
      <c r="T1000" s="458"/>
      <c r="U1000" s="458"/>
      <c r="V1000" s="458"/>
      <c r="W1000" s="458"/>
    </row>
  </sheetData>
  <mergeCells count="6">
    <mergeCell ref="M48:M49"/>
    <mergeCell ref="G13:I13"/>
    <mergeCell ref="C38:C39"/>
    <mergeCell ref="D38:D39"/>
    <mergeCell ref="E48:E49"/>
    <mergeCell ref="G48:G4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992"/>
  <sheetViews>
    <sheetView workbookViewId="0">
      <selection activeCell="E27" sqref="E27"/>
    </sheetView>
  </sheetViews>
  <sheetFormatPr defaultColWidth="14.42578125" defaultRowHeight="15"/>
  <cols>
    <col min="1" max="1" width="22.7109375" customWidth="1"/>
    <col min="2" max="2" width="9.5703125" customWidth="1"/>
    <col min="3" max="3" width="10" customWidth="1"/>
    <col min="4" max="4" width="8.5703125" customWidth="1"/>
    <col min="5" max="5" width="9.85546875" customWidth="1"/>
    <col min="6" max="6" width="15" customWidth="1"/>
    <col min="7" max="7" width="8.5703125" customWidth="1"/>
    <col min="8" max="8" width="9.85546875" bestFit="1" customWidth="1"/>
    <col min="9" max="10" width="8.5703125" customWidth="1"/>
    <col min="11" max="11" width="1.85546875" customWidth="1"/>
    <col min="12" max="12" width="8.5703125" customWidth="1"/>
    <col min="13" max="13" width="10.42578125" customWidth="1"/>
    <col min="14" max="15" width="8.5703125" customWidth="1"/>
    <col min="16" max="16" width="1.85546875" customWidth="1"/>
    <col min="17" max="17" width="8.5703125" customWidth="1"/>
    <col min="18" max="18" width="10.42578125" customWidth="1"/>
    <col min="19" max="20" width="8.5703125" customWidth="1"/>
    <col min="21" max="21" width="1.7109375" customWidth="1"/>
    <col min="22" max="22" width="11.140625" customWidth="1"/>
    <col min="23" max="27" width="8.5703125" customWidth="1"/>
  </cols>
  <sheetData>
    <row r="1" spans="1:22" ht="18.75" customHeight="1">
      <c r="A1" s="633" t="s">
        <v>517</v>
      </c>
    </row>
    <row r="2" spans="1:22" ht="14.25" customHeight="1">
      <c r="A2" s="634" t="s">
        <v>518</v>
      </c>
    </row>
    <row r="3" spans="1:22" ht="8.25" customHeight="1"/>
    <row r="4" spans="1:22" ht="5.25" customHeight="1"/>
    <row r="5" spans="1:22" ht="6.75" customHeight="1"/>
    <row r="6" spans="1:22" ht="14.25" customHeight="1">
      <c r="A6" s="634" t="s">
        <v>519</v>
      </c>
      <c r="C6" s="634" t="s">
        <v>159</v>
      </c>
    </row>
    <row r="7" spans="1:22" ht="14.25" customHeight="1">
      <c r="A7" s="634" t="s">
        <v>520</v>
      </c>
      <c r="C7" s="635" t="s">
        <v>521</v>
      </c>
    </row>
    <row r="8" spans="1:22" ht="14.25" customHeight="1">
      <c r="A8" s="634" t="s">
        <v>522</v>
      </c>
      <c r="C8" s="635" t="s">
        <v>438</v>
      </c>
    </row>
    <row r="9" spans="1:22" ht="0.75" customHeight="1"/>
    <row r="10" spans="1:22" ht="0.75" customHeight="1"/>
    <row r="11" spans="1:22" ht="14.25" customHeight="1">
      <c r="B11" s="636" t="s">
        <v>539</v>
      </c>
      <c r="C11" s="636"/>
      <c r="D11" s="636" t="s">
        <v>540</v>
      </c>
      <c r="E11" s="636" t="s">
        <v>541</v>
      </c>
      <c r="F11" s="636" t="s">
        <v>542</v>
      </c>
      <c r="G11" s="636" t="s">
        <v>543</v>
      </c>
      <c r="H11" s="636" t="s">
        <v>544</v>
      </c>
      <c r="I11" s="636" t="s">
        <v>545</v>
      </c>
      <c r="J11" s="636" t="s">
        <v>546</v>
      </c>
      <c r="K11" s="636"/>
      <c r="L11" s="636" t="s">
        <v>547</v>
      </c>
      <c r="M11" s="636" t="s">
        <v>548</v>
      </c>
      <c r="N11" s="636" t="s">
        <v>549</v>
      </c>
      <c r="O11" s="636" t="s">
        <v>550</v>
      </c>
      <c r="Q11" s="634" t="s">
        <v>551</v>
      </c>
      <c r="R11" s="636" t="s">
        <v>552</v>
      </c>
      <c r="S11" s="636" t="s">
        <v>553</v>
      </c>
      <c r="T11" s="636" t="s">
        <v>554</v>
      </c>
      <c r="U11" s="636"/>
      <c r="V11" s="636" t="s">
        <v>555</v>
      </c>
    </row>
    <row r="12" spans="1:22" ht="14.25" customHeight="1">
      <c r="A12" s="635"/>
      <c r="B12" s="819" t="s">
        <v>437</v>
      </c>
      <c r="C12" s="819" t="s">
        <v>523</v>
      </c>
      <c r="D12" s="635"/>
      <c r="E12" s="635"/>
      <c r="F12" s="635"/>
      <c r="G12" s="821" t="s">
        <v>524</v>
      </c>
      <c r="H12" s="822"/>
      <c r="I12" s="822"/>
      <c r="J12" s="822"/>
      <c r="L12" s="821" t="s">
        <v>525</v>
      </c>
      <c r="M12" s="822"/>
      <c r="N12" s="822"/>
      <c r="O12" s="822"/>
      <c r="P12" s="637"/>
      <c r="Q12" s="823" t="s">
        <v>526</v>
      </c>
      <c r="R12" s="822"/>
      <c r="S12" s="822"/>
      <c r="T12" s="822"/>
      <c r="U12" s="638"/>
      <c r="V12" s="639"/>
    </row>
    <row r="13" spans="1:22" ht="14.25" customHeight="1">
      <c r="A13" s="640" t="s">
        <v>527</v>
      </c>
      <c r="B13" s="820"/>
      <c r="C13" s="820"/>
      <c r="D13" s="641" t="s">
        <v>528</v>
      </c>
      <c r="E13" s="641" t="s">
        <v>202</v>
      </c>
      <c r="F13" s="641" t="s">
        <v>306</v>
      </c>
      <c r="G13" s="641" t="s">
        <v>529</v>
      </c>
      <c r="H13" s="641" t="s">
        <v>530</v>
      </c>
      <c r="I13" s="641" t="s">
        <v>531</v>
      </c>
      <c r="J13" s="641" t="s">
        <v>532</v>
      </c>
      <c r="K13" s="637"/>
      <c r="L13" s="641" t="s">
        <v>529</v>
      </c>
      <c r="M13" s="641" t="s">
        <v>530</v>
      </c>
      <c r="N13" s="641" t="s">
        <v>531</v>
      </c>
      <c r="O13" s="641" t="s">
        <v>532</v>
      </c>
      <c r="P13" s="637"/>
      <c r="Q13" s="641" t="s">
        <v>529</v>
      </c>
      <c r="R13" s="641" t="s">
        <v>530</v>
      </c>
      <c r="S13" s="641" t="s">
        <v>531</v>
      </c>
      <c r="T13" s="641" t="s">
        <v>532</v>
      </c>
      <c r="U13" s="637"/>
      <c r="V13" s="635" t="s">
        <v>533</v>
      </c>
    </row>
    <row r="15" spans="1:22" ht="14.25" customHeight="1">
      <c r="A15" s="634" t="s">
        <v>217</v>
      </c>
      <c r="B15" s="634" t="s">
        <v>438</v>
      </c>
      <c r="C15" s="642"/>
      <c r="D15" s="643">
        <f>'Ford Motors'!F33</f>
        <v>10.29</v>
      </c>
      <c r="E15" s="643">
        <f>'Ford Motors'!F18</f>
        <v>42105.157862039996</v>
      </c>
      <c r="F15" s="643">
        <f>'Ford Motors'!F32</f>
        <v>157504.33785137453</v>
      </c>
      <c r="G15" s="644">
        <f>F15/'Ford Motors'!K59</f>
        <v>0.85141161699627299</v>
      </c>
      <c r="H15" s="644">
        <f>F15/'Ford Motors'!K65</f>
        <v>8.8610035359423076</v>
      </c>
      <c r="I15" s="644">
        <f>F15/'Ford Motors'!K63</f>
        <v>15.429500181365059</v>
      </c>
      <c r="J15" s="644">
        <f>E15/'Ford Motors'!K74</f>
        <v>5.6661496248203465</v>
      </c>
      <c r="K15" s="644"/>
      <c r="L15" s="644">
        <f>$F$15/'Ford Motors'!L59</f>
        <v>0.92935523906709772</v>
      </c>
      <c r="M15" s="664">
        <f>$F$15/'Ford Motors'!L65</f>
        <v>12.334899980528979</v>
      </c>
      <c r="N15" s="644">
        <f>$F$15/'Ford Motors'!L63</f>
        <v>20.789907319347218</v>
      </c>
      <c r="O15" s="644">
        <f>$E15/'Ford Motors'!L74</f>
        <v>8.1821138480450823</v>
      </c>
      <c r="P15" s="644"/>
      <c r="Q15" s="644">
        <f>$F$15/'Ford Motors'!M59</f>
        <v>0.91497814483196538</v>
      </c>
      <c r="R15" s="664">
        <f>$F$15/'Ford Motors'!M65</f>
        <v>11.453195015370458</v>
      </c>
      <c r="S15" s="644">
        <f>$F$15/'Ford Motors'!M63</f>
        <v>17.30626720705137</v>
      </c>
      <c r="T15" s="644">
        <f>$E15/'Ford Motors'!M74</f>
        <v>6.4479567935742717</v>
      </c>
      <c r="U15" s="644"/>
      <c r="V15" s="663">
        <f>'Ford Motors'!N74</f>
        <v>-6.2582708981926416E-2</v>
      </c>
    </row>
    <row r="16" spans="1:22" ht="14.25" customHeight="1">
      <c r="A16" s="634" t="s">
        <v>538</v>
      </c>
      <c r="B16" s="634" t="s">
        <v>438</v>
      </c>
      <c r="C16" s="642"/>
      <c r="D16" s="643">
        <f>'Li Auto'!F33</f>
        <v>26.67</v>
      </c>
      <c r="E16" s="643">
        <f>'Li Auto'!F18</f>
        <v>31247.476200000001</v>
      </c>
      <c r="F16" s="643">
        <f>'Li Auto'!F32</f>
        <v>32286.745936422289</v>
      </c>
      <c r="G16" s="644">
        <f>F16/'Li Auto'!K59</f>
        <v>1.6314677077525159</v>
      </c>
      <c r="H16" s="644">
        <f>F16/'Li Auto'!K65</f>
        <v>25.047902200482767</v>
      </c>
      <c r="I16" s="644">
        <f>F16/'Li Auto'!K63</f>
        <v>31.134759822972313</v>
      </c>
      <c r="J16" s="644">
        <f>E16/'Li Auto'!K74</f>
        <v>19.13149831629217</v>
      </c>
      <c r="K16" s="646"/>
      <c r="L16" s="644">
        <f>$F$16/'Li Auto'!L59</f>
        <v>1.3866494561253344</v>
      </c>
      <c r="M16" s="664">
        <f>$F$16/'Li Auto'!L65</f>
        <v>17.58441584686144</v>
      </c>
      <c r="N16" s="644">
        <f>$F$16/'Li Auto'!L63</f>
        <v>25.53078864514422</v>
      </c>
      <c r="O16" s="644">
        <f>E16/'Li Auto'!L74</f>
        <v>22.742638941453901</v>
      </c>
      <c r="Q16" s="644">
        <f>$F$16/'Li Auto'!M59</f>
        <v>1.0532980764173911</v>
      </c>
      <c r="R16" s="664">
        <f>$F$16/'Li Auto'!M65</f>
        <v>12.005810496724855</v>
      </c>
      <c r="S16" s="644">
        <f>$F$16/'Li Auto'!M63</f>
        <v>15.625693734777949</v>
      </c>
      <c r="T16" s="644">
        <f>J16/'Li Auto'!M74</f>
        <v>9.0230148169090068E-3</v>
      </c>
      <c r="U16" s="644"/>
      <c r="V16" s="663">
        <f>'Li Auto'!N74</f>
        <v>0.13937234931996922</v>
      </c>
    </row>
    <row r="17" spans="1:22" ht="14.25" customHeight="1" thickBot="1">
      <c r="A17" s="634"/>
      <c r="C17" s="642"/>
      <c r="D17" s="643"/>
      <c r="E17" s="643"/>
      <c r="F17" s="643"/>
      <c r="G17" s="644"/>
      <c r="H17" s="644"/>
      <c r="I17" s="644"/>
      <c r="J17" s="644"/>
      <c r="K17" s="646"/>
      <c r="L17" s="644"/>
      <c r="M17" s="644"/>
      <c r="N17" s="644"/>
      <c r="O17" s="644"/>
      <c r="Q17" s="644"/>
      <c r="R17" s="644"/>
      <c r="S17" s="644"/>
      <c r="T17" s="644"/>
      <c r="U17" s="644"/>
      <c r="V17" s="645"/>
    </row>
    <row r="18" spans="1:22" ht="14.25" customHeight="1" thickBot="1">
      <c r="C18" s="319"/>
      <c r="D18" s="643"/>
      <c r="E18" s="647"/>
      <c r="F18" s="648" t="s">
        <v>534</v>
      </c>
      <c r="G18" s="649">
        <f>AVERAGE(G15:G16)</f>
        <v>1.2414396623743944</v>
      </c>
      <c r="H18" s="649">
        <f>AVERAGE(H15:H16)</f>
        <v>16.954452868212538</v>
      </c>
      <c r="I18" s="649">
        <f>AVERAGE(I15:I16)</f>
        <v>23.282130002168685</v>
      </c>
      <c r="J18" s="649">
        <f>AVERAGE(J15:J16)</f>
        <v>12.398823970556258</v>
      </c>
      <c r="K18" s="650"/>
      <c r="L18" s="649">
        <f>AVERAGE(L15:L16)</f>
        <v>1.158002347596216</v>
      </c>
      <c r="M18" s="649">
        <f>AVERAGE(M15:M16)</f>
        <v>14.95965791369521</v>
      </c>
      <c r="N18" s="649">
        <f>AVERAGE(N15:N16)</f>
        <v>23.160347982245717</v>
      </c>
      <c r="O18" s="649">
        <f>AVERAGE(O15:O16)</f>
        <v>15.462376394749491</v>
      </c>
      <c r="P18" s="650"/>
      <c r="Q18" s="649">
        <f>AVERAGE(Q15:Q16)</f>
        <v>0.98413811062467826</v>
      </c>
      <c r="R18" s="649">
        <f>AVERAGE(R15:R16)</f>
        <v>11.729502756047657</v>
      </c>
      <c r="S18" s="649">
        <f>AVERAGE(S15:S16)</f>
        <v>16.465980470914658</v>
      </c>
      <c r="T18" s="649">
        <f>AVERAGE(T15:T16)</f>
        <v>3.2284899041955901</v>
      </c>
      <c r="U18" s="647"/>
      <c r="V18" s="649">
        <f>AVERAGE(V15:V16)</f>
        <v>3.8394820169021404E-2</v>
      </c>
    </row>
    <row r="19" spans="1:22" ht="14.25" customHeight="1" thickBot="1">
      <c r="C19" s="319"/>
      <c r="D19" s="643"/>
      <c r="E19" s="647"/>
      <c r="F19" s="651" t="s">
        <v>535</v>
      </c>
      <c r="G19" s="652">
        <f>MEDIAN(G15:G16)</f>
        <v>1.2414396623743944</v>
      </c>
      <c r="H19" s="649">
        <f>MEDIAN(H15:H16)</f>
        <v>16.954452868212535</v>
      </c>
      <c r="I19" s="652">
        <f>MEDIAN(I15:I16)</f>
        <v>23.282130002168685</v>
      </c>
      <c r="J19" s="652">
        <f>MEDIAN(J15:J16)</f>
        <v>12.398823970556258</v>
      </c>
      <c r="K19" s="650"/>
      <c r="L19" s="652">
        <f>MEDIAN(L15:L16)</f>
        <v>1.158002347596216</v>
      </c>
      <c r="M19" s="652">
        <f>MEDIAN(M15:M16)</f>
        <v>14.95965791369521</v>
      </c>
      <c r="N19" s="652">
        <f>MEDIAN(N15:N16)</f>
        <v>23.160347982245717</v>
      </c>
      <c r="O19" s="652">
        <f>MEDIAN(O15:O16)</f>
        <v>15.462376394749491</v>
      </c>
      <c r="P19" s="650"/>
      <c r="Q19" s="652">
        <f>MEDIAN(Q15:Q16)</f>
        <v>0.98413811062467826</v>
      </c>
      <c r="R19" s="652">
        <f>MEDIAN(R15:R16)</f>
        <v>11.729502756047657</v>
      </c>
      <c r="S19" s="652">
        <f>MEDIAN(S15:S16)</f>
        <v>16.465980470914658</v>
      </c>
      <c r="T19" s="652">
        <f>MEDIAN(T15:T16)</f>
        <v>3.2284899041955906</v>
      </c>
      <c r="U19" s="653"/>
      <c r="V19" s="652">
        <f>MEDIAN(V15:V16)</f>
        <v>3.8394820169021404E-2</v>
      </c>
    </row>
    <row r="20" spans="1:22" ht="14.25" customHeight="1" thickBot="1">
      <c r="B20" s="657"/>
      <c r="C20" s="657"/>
      <c r="D20" s="658"/>
      <c r="E20" s="646"/>
      <c r="F20" s="654" t="s">
        <v>536</v>
      </c>
      <c r="G20" s="652">
        <f>PERCENTILE(G15:G16,0.25)</f>
        <v>1.0464256396853338</v>
      </c>
      <c r="H20" s="652">
        <f>PERCENTILE(H15:H16,0.25)</f>
        <v>12.907728202077422</v>
      </c>
      <c r="I20" s="652">
        <f>PERCENTILE(I15:I16,0.25)</f>
        <v>19.355815091766871</v>
      </c>
      <c r="J20" s="652">
        <f>PERCENTILE(J15:J16,0.25)</f>
        <v>9.0324867976883034</v>
      </c>
      <c r="K20" s="650"/>
      <c r="L20" s="652">
        <f>PERCENTILE(L15:L16,0.25)</f>
        <v>1.0436787933316569</v>
      </c>
      <c r="M20" s="652">
        <f>PERCENTILE(M15:M16,0.25)</f>
        <v>13.647278947112094</v>
      </c>
      <c r="N20" s="652">
        <f>PERCENTILE(N15:N16,0.25)</f>
        <v>21.97512765079647</v>
      </c>
      <c r="O20" s="652">
        <f>PERCENTILE(O15:O16,0.25)</f>
        <v>11.822245121397287</v>
      </c>
      <c r="P20" s="650"/>
      <c r="Q20" s="652">
        <f>PERCENTILE(Q15:Q16,0.25)</f>
        <v>0.94955812772832182</v>
      </c>
      <c r="R20" s="652">
        <f>PERCENTILE(R15:R16,0.25)</f>
        <v>11.591348885709056</v>
      </c>
      <c r="S20" s="652">
        <f>PERCENTILE(S15:S16,0.25)</f>
        <v>16.045837102846303</v>
      </c>
      <c r="T20" s="652">
        <f>PERCENTILE(T15:T16,0.25)</f>
        <v>1.6187564595062498</v>
      </c>
      <c r="U20" s="653"/>
      <c r="V20" s="652">
        <f>PERCENTILE(V15:V16,0.25)</f>
        <v>-1.2093944406452506E-2</v>
      </c>
    </row>
    <row r="21" spans="1:22" ht="14.25" customHeight="1" thickBot="1">
      <c r="A21" s="659"/>
      <c r="F21" s="655" t="s">
        <v>537</v>
      </c>
      <c r="G21" s="656">
        <f>PERCENTILE(G15:G16,0.75)</f>
        <v>1.4364536850634551</v>
      </c>
      <c r="H21" s="656">
        <f>PERCENTILE(H15:H16,0.75)</f>
        <v>21.001177534347651</v>
      </c>
      <c r="I21" s="656">
        <f>PERCENTILE(I15:I16,0.75)</f>
        <v>27.208444912570499</v>
      </c>
      <c r="J21" s="656">
        <f>PERCENTILE(J15:J16,0.75)</f>
        <v>15.765161143424216</v>
      </c>
      <c r="K21" s="650"/>
      <c r="L21" s="656">
        <f>PERCENTILE(L15:L16,0.75)</f>
        <v>1.2723259018607753</v>
      </c>
      <c r="M21" s="656">
        <f>PERCENTILE(M15:M16,0.75)</f>
        <v>16.272036880278325</v>
      </c>
      <c r="N21" s="656">
        <f>PERCENTILE(N15:N16,0.75)</f>
        <v>24.345568313694969</v>
      </c>
      <c r="O21" s="656">
        <f>PERCENTILE(O15:O16,0.75)</f>
        <v>19.102507668101694</v>
      </c>
      <c r="P21" s="650"/>
      <c r="Q21" s="656">
        <f>PERCENTILE(Q15:Q16,0.75)</f>
        <v>1.0187180935210347</v>
      </c>
      <c r="R21" s="656">
        <f>PERCENTILE(R15:R16,0.75)</f>
        <v>11.867656626386257</v>
      </c>
      <c r="S21" s="656">
        <f>PERCENTILE(S15:S16,0.75)</f>
        <v>16.886123838983014</v>
      </c>
      <c r="T21" s="656">
        <f>PERCENTILE(T15:T16,0.75)</f>
        <v>4.8382233488849309</v>
      </c>
      <c r="U21" s="653"/>
      <c r="V21" s="656">
        <f>PERCENTILE(V15:V16,0.75)</f>
        <v>8.8883584744495314E-2</v>
      </c>
    </row>
    <row r="22" spans="1:22" ht="14.25" customHeight="1">
      <c r="J22" s="646"/>
      <c r="K22" s="646"/>
    </row>
    <row r="23" spans="1:22" ht="14.25" customHeight="1">
      <c r="A23" s="660"/>
      <c r="B23" s="660"/>
      <c r="J23" s="661"/>
      <c r="K23" s="661"/>
    </row>
    <row r="24" spans="1:22" ht="14.25" customHeight="1"/>
    <row r="25" spans="1:22" ht="14.25" customHeight="1"/>
    <row r="26" spans="1:22" ht="14.25" customHeight="1"/>
    <row r="27" spans="1:22" ht="14.25" customHeight="1"/>
    <row r="28" spans="1:22" ht="14.25" customHeight="1"/>
    <row r="29" spans="1:22" ht="14.25" customHeight="1"/>
    <row r="30" spans="1:22" ht="14.25" customHeight="1"/>
    <row r="31" spans="1:22" ht="14.25" customHeight="1"/>
    <row r="32" spans="1:22" ht="14.25" customHeight="1"/>
    <row r="33" spans="1:22" ht="14.25" customHeight="1"/>
    <row r="34" spans="1:22" ht="14.25" customHeight="1"/>
    <row r="35" spans="1:22" ht="14.25" customHeight="1"/>
    <row r="36" spans="1:22" ht="14.25" customHeight="1"/>
    <row r="37" spans="1:22" ht="14.25" customHeight="1"/>
    <row r="38" spans="1:22" ht="14.25" customHeight="1"/>
    <row r="39" spans="1:22" ht="14.25" customHeight="1"/>
    <row r="40" spans="1:22" ht="14.25" customHeight="1"/>
    <row r="41" spans="1:22" ht="14.25" customHeight="1"/>
    <row r="42" spans="1:22" ht="14.25" customHeight="1"/>
    <row r="43" spans="1:22" ht="14.25" customHeight="1"/>
    <row r="44" spans="1:22" ht="14.25" customHeight="1"/>
    <row r="45" spans="1:22" ht="14.25" customHeight="1">
      <c r="A45" s="634"/>
      <c r="B45" s="634"/>
      <c r="C45" s="642"/>
      <c r="D45" s="643"/>
      <c r="E45" s="643"/>
      <c r="F45" s="643"/>
      <c r="G45" s="644"/>
      <c r="H45" s="644"/>
      <c r="I45" s="644"/>
      <c r="J45" s="644"/>
      <c r="K45" s="644"/>
      <c r="L45" s="644"/>
      <c r="M45" s="664"/>
      <c r="N45" s="644"/>
      <c r="O45" s="644"/>
      <c r="P45" s="644"/>
      <c r="Q45" s="644"/>
      <c r="R45" s="664"/>
      <c r="S45" s="644"/>
      <c r="T45" s="644"/>
      <c r="U45" s="644"/>
      <c r="V45" s="663"/>
    </row>
    <row r="46" spans="1:22" ht="14.25" customHeight="1"/>
    <row r="47" spans="1:22" ht="14.25" customHeight="1"/>
    <row r="48" spans="1:2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5">
    <mergeCell ref="B12:B13"/>
    <mergeCell ref="C12:C13"/>
    <mergeCell ref="G12:J12"/>
    <mergeCell ref="L12:O12"/>
    <mergeCell ref="Q12:T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Y100"/>
  <sheetViews>
    <sheetView workbookViewId="0">
      <selection activeCell="E2" sqref="E2"/>
    </sheetView>
  </sheetViews>
  <sheetFormatPr defaultColWidth="14.42578125" defaultRowHeight="15"/>
  <cols>
    <col min="1" max="1" width="13" customWidth="1"/>
    <col min="2" max="16" width="10.7109375" customWidth="1"/>
    <col min="17" max="17" width="15.28515625" customWidth="1"/>
    <col min="18" max="23" width="8.5703125" customWidth="1"/>
    <col min="24" max="24" width="16.5703125" style="668" customWidth="1"/>
    <col min="25" max="25" width="8.5703125" style="668" customWidth="1"/>
    <col min="26" max="27" width="8.5703125" customWidth="1"/>
  </cols>
  <sheetData>
    <row r="2" spans="1:25" ht="14.25" customHeight="1">
      <c r="A2" s="317" t="s">
        <v>556</v>
      </c>
      <c r="C2" s="837" t="s">
        <v>581</v>
      </c>
      <c r="D2" s="837"/>
      <c r="F2" s="665" t="s">
        <v>557</v>
      </c>
      <c r="G2" s="666" t="s">
        <v>535</v>
      </c>
      <c r="H2">
        <f>IF(G2=X2, Y2, IF(G2=X3, Y3, Y4))</f>
        <v>1</v>
      </c>
      <c r="X2" s="667" t="s">
        <v>535</v>
      </c>
      <c r="Y2" s="668">
        <v>1</v>
      </c>
    </row>
    <row r="3" spans="1:25" ht="14.25" customHeight="1">
      <c r="X3" s="667" t="s">
        <v>536</v>
      </c>
      <c r="Y3" s="668">
        <v>2</v>
      </c>
    </row>
    <row r="4" spans="1:25" s="447" customFormat="1" ht="14.25" customHeight="1">
      <c r="B4" s="669" t="s">
        <v>558</v>
      </c>
      <c r="C4" s="824" t="s">
        <v>559</v>
      </c>
      <c r="D4" s="825"/>
      <c r="E4" s="824" t="s">
        <v>609</v>
      </c>
      <c r="F4" s="825"/>
      <c r="G4" s="826" t="s">
        <v>446</v>
      </c>
      <c r="H4" s="826" t="s">
        <v>560</v>
      </c>
      <c r="I4" s="826" t="s">
        <v>561</v>
      </c>
      <c r="J4" s="670"/>
      <c r="K4" s="826" t="s">
        <v>562</v>
      </c>
      <c r="L4" s="831" t="s">
        <v>563</v>
      </c>
      <c r="M4" s="824" t="s">
        <v>564</v>
      </c>
      <c r="N4" s="825"/>
      <c r="O4" s="826" t="s">
        <v>565</v>
      </c>
      <c r="P4" s="827" t="s">
        <v>608</v>
      </c>
      <c r="Q4" s="828"/>
      <c r="X4" s="667" t="s">
        <v>537</v>
      </c>
      <c r="Y4" s="668">
        <v>3</v>
      </c>
    </row>
    <row r="5" spans="1:25" s="447" customFormat="1" ht="14.25" customHeight="1">
      <c r="B5" s="669" t="s">
        <v>399</v>
      </c>
      <c r="C5" s="669" t="s">
        <v>400</v>
      </c>
      <c r="D5" s="669" t="s">
        <v>401</v>
      </c>
      <c r="E5" s="669" t="s">
        <v>400</v>
      </c>
      <c r="F5" s="669" t="s">
        <v>401</v>
      </c>
      <c r="G5" s="820"/>
      <c r="H5" s="820"/>
      <c r="I5" s="820"/>
      <c r="J5" s="638"/>
      <c r="K5" s="820"/>
      <c r="L5" s="832"/>
      <c r="M5" s="669" t="s">
        <v>400</v>
      </c>
      <c r="N5" s="669" t="s">
        <v>401</v>
      </c>
      <c r="O5" s="820"/>
      <c r="P5" s="669" t="s">
        <v>400</v>
      </c>
      <c r="Q5" s="669" t="s">
        <v>401</v>
      </c>
      <c r="X5" s="668"/>
      <c r="Y5" s="668"/>
    </row>
    <row r="6" spans="1:25" ht="14.25" customHeight="1">
      <c r="C6" s="671">
        <v>0.05</v>
      </c>
      <c r="D6" s="671">
        <v>0.05</v>
      </c>
      <c r="G6" s="672"/>
      <c r="H6" s="672"/>
      <c r="I6" s="672"/>
      <c r="J6" s="672"/>
      <c r="K6" s="672"/>
      <c r="L6" s="672"/>
      <c r="O6" s="672"/>
    </row>
    <row r="7" spans="1:25" ht="14.25" customHeight="1">
      <c r="A7" s="728" t="s">
        <v>376</v>
      </c>
      <c r="B7" s="729">
        <f>'General Motors'!K65</f>
        <v>26390</v>
      </c>
      <c r="C7" s="673">
        <f>CHOOSE($H$2, Output!$H$19, Output!$H$20, Output!$H$21)*(1-Valuation!$C$6)</f>
        <v>16.106730224801908</v>
      </c>
      <c r="D7" s="673">
        <f>CHOOSE($H$2, Output!$H$19, Output!$H$20, Output!$H$21)*(1+Valuation!$C$6)</f>
        <v>17.802175511623162</v>
      </c>
      <c r="E7" s="729">
        <f>$B7*C7</f>
        <v>425056.61063252232</v>
      </c>
      <c r="F7" s="729">
        <f>$B7*D7</f>
        <v>469799.41175173526</v>
      </c>
      <c r="G7" s="730">
        <f>'General Motors'!$F$19</f>
        <v>2518</v>
      </c>
      <c r="H7" s="730">
        <f>'General Motors'!$F$23</f>
        <v>130632</v>
      </c>
      <c r="I7" s="731">
        <f>'General Motors'!$F$27+'General Motors'!$F$28</f>
        <v>-4261</v>
      </c>
      <c r="J7" s="731"/>
      <c r="K7" s="730">
        <f>'General Motors'!$F$29</f>
        <v>27137</v>
      </c>
      <c r="L7" s="730">
        <f>'General Motors'!$F$31</f>
        <v>7102</v>
      </c>
      <c r="M7" s="729">
        <f>E7-$G7-$H7-$I7+$K7+$L7</f>
        <v>330406.61063252232</v>
      </c>
      <c r="N7" s="729">
        <f>F7-$G7-$H7-$I7+$K7+$L7</f>
        <v>375149.41175173526</v>
      </c>
      <c r="O7" s="731">
        <f>'General Motors'!$C$17</f>
        <v>1129</v>
      </c>
      <c r="P7" s="729">
        <f>M7/$O7</f>
        <v>292.65421668071065</v>
      </c>
      <c r="Q7" s="729">
        <f>N7/$O7</f>
        <v>332.28468711402593</v>
      </c>
    </row>
    <row r="8" spans="1:25" ht="14.25" customHeight="1">
      <c r="A8" s="728" t="s">
        <v>566</v>
      </c>
      <c r="B8" s="729">
        <f>'General Motors'!L65</f>
        <v>23701</v>
      </c>
      <c r="C8" s="673">
        <f>CHOOSE($H$2, Output!$M$19, Output!$M$20, Output!$M$21)*(1-Valuation!$C$6)</f>
        <v>14.21167501801045</v>
      </c>
      <c r="D8" s="673">
        <f>CHOOSE($H$2, Output!$M$19, Output!$M$20, Output!$M$21)*(1+Valuation!$C$6)</f>
        <v>15.707640809379971</v>
      </c>
      <c r="E8" s="729">
        <f t="shared" ref="E8:F9" si="0">$B8*C8</f>
        <v>336830.90960186569</v>
      </c>
      <c r="F8" s="729">
        <f t="shared" si="0"/>
        <v>372286.7948231147</v>
      </c>
      <c r="G8" s="730">
        <f>'General Motors'!$F$19</f>
        <v>2518</v>
      </c>
      <c r="H8" s="730">
        <f>'General Motors'!$F$23</f>
        <v>130632</v>
      </c>
      <c r="I8" s="731">
        <f>'General Motors'!$F$27+'General Motors'!$F$28</f>
        <v>-4261</v>
      </c>
      <c r="J8" s="731"/>
      <c r="K8" s="730">
        <f>'General Motors'!$F$29</f>
        <v>27137</v>
      </c>
      <c r="L8" s="730">
        <f>'General Motors'!$F$31</f>
        <v>7102</v>
      </c>
      <c r="M8" s="729">
        <f t="shared" ref="M8:N9" si="1">E8-$G8-$H8-$I8+$K8+$L8</f>
        <v>242180.90960186569</v>
      </c>
      <c r="N8" s="729">
        <f>F8-$G8-$H8-$I8+$K8+$L8</f>
        <v>277636.7948231147</v>
      </c>
      <c r="O8" s="731">
        <f>'General Motors'!$C$17</f>
        <v>1129</v>
      </c>
      <c r="P8" s="729">
        <f t="shared" ref="P8:Q9" si="2">M8/$O8</f>
        <v>214.50922019651523</v>
      </c>
      <c r="Q8" s="729">
        <f t="shared" si="2"/>
        <v>245.91390152623092</v>
      </c>
    </row>
    <row r="9" spans="1:25" ht="14.25" customHeight="1">
      <c r="A9" s="728" t="s">
        <v>567</v>
      </c>
      <c r="B9" s="729">
        <f>'General Motors'!M65</f>
        <v>24383</v>
      </c>
      <c r="C9" s="673">
        <f>CHOOSE($H$2, Output!$R$19, Output!$R$20, Output!$R$21)*(1-Valuation!$C$6)</f>
        <v>11.143027618245274</v>
      </c>
      <c r="D9" s="673">
        <f>CHOOSE($H$2, Output!$R$19, Output!$R$20, Output!$R$21)*(1+Valuation!$C$6)</f>
        <v>12.315977893850039</v>
      </c>
      <c r="E9" s="729">
        <f t="shared" si="0"/>
        <v>271700.44241567451</v>
      </c>
      <c r="F9" s="729">
        <f t="shared" si="0"/>
        <v>300300.48898574553</v>
      </c>
      <c r="G9" s="730">
        <f>'General Motors'!$F$19</f>
        <v>2518</v>
      </c>
      <c r="H9" s="730">
        <f>'General Motors'!$F$23</f>
        <v>130632</v>
      </c>
      <c r="I9" s="731">
        <f>'General Motors'!$F$27+'General Motors'!$F$28</f>
        <v>-4261</v>
      </c>
      <c r="J9" s="731"/>
      <c r="K9" s="730">
        <f>'General Motors'!$F$29</f>
        <v>27137</v>
      </c>
      <c r="L9" s="730">
        <f>'General Motors'!$F$31</f>
        <v>7102</v>
      </c>
      <c r="M9" s="729">
        <f t="shared" si="1"/>
        <v>177050.44241567451</v>
      </c>
      <c r="N9" s="729">
        <f t="shared" si="1"/>
        <v>205650.48898574553</v>
      </c>
      <c r="O9" s="731">
        <f>'General Motors'!$C$17</f>
        <v>1129</v>
      </c>
      <c r="P9" s="729">
        <f t="shared" si="2"/>
        <v>156.82058672778965</v>
      </c>
      <c r="Q9" s="729">
        <f t="shared" si="2"/>
        <v>182.15278032395528</v>
      </c>
    </row>
    <row r="10" spans="1:25" ht="14.25" customHeight="1" thickBot="1">
      <c r="A10" s="728"/>
    </row>
    <row r="11" spans="1:25" ht="14.25" customHeight="1" thickBot="1">
      <c r="A11" s="728"/>
      <c r="K11" s="835" t="s">
        <v>611</v>
      </c>
      <c r="L11" s="835"/>
      <c r="M11" s="835"/>
      <c r="N11" s="835"/>
      <c r="O11" s="836"/>
      <c r="P11" s="674">
        <f>AVERAGE(P7:P9)</f>
        <v>221.32800786833852</v>
      </c>
      <c r="Q11" s="675">
        <f>AVERAGE(Q7:Q9)</f>
        <v>253.45045632140406</v>
      </c>
    </row>
    <row r="12" spans="1:25" ht="14.25" customHeight="1">
      <c r="A12" s="728"/>
    </row>
    <row r="13" spans="1:25" s="447" customFormat="1" ht="14.25" customHeight="1">
      <c r="A13" s="728"/>
      <c r="B13" s="669" t="s">
        <v>342</v>
      </c>
      <c r="C13" s="824" t="s">
        <v>559</v>
      </c>
      <c r="D13" s="825"/>
      <c r="E13" s="824" t="s">
        <v>609</v>
      </c>
      <c r="F13" s="825"/>
      <c r="G13" s="826" t="s">
        <v>446</v>
      </c>
      <c r="H13" s="826" t="s">
        <v>560</v>
      </c>
      <c r="I13" s="826" t="s">
        <v>561</v>
      </c>
      <c r="J13" s="670"/>
      <c r="K13" s="826" t="s">
        <v>562</v>
      </c>
      <c r="L13" s="831" t="s">
        <v>563</v>
      </c>
      <c r="M13" s="824" t="s">
        <v>564</v>
      </c>
      <c r="N13" s="825"/>
      <c r="O13" s="826" t="s">
        <v>565</v>
      </c>
      <c r="P13" s="827" t="s">
        <v>608</v>
      </c>
      <c r="Q13" s="828"/>
      <c r="X13" s="668"/>
      <c r="Y13" s="668"/>
    </row>
    <row r="14" spans="1:25" s="447" customFormat="1" ht="14.25" customHeight="1">
      <c r="A14" s="728"/>
      <c r="B14" s="669" t="s">
        <v>399</v>
      </c>
      <c r="C14" s="669" t="s">
        <v>400</v>
      </c>
      <c r="D14" s="669" t="s">
        <v>401</v>
      </c>
      <c r="E14" s="669" t="s">
        <v>400</v>
      </c>
      <c r="F14" s="669" t="s">
        <v>401</v>
      </c>
      <c r="G14" s="820"/>
      <c r="H14" s="820"/>
      <c r="I14" s="820"/>
      <c r="J14" s="638"/>
      <c r="K14" s="820"/>
      <c r="L14" s="832"/>
      <c r="M14" s="669" t="s">
        <v>400</v>
      </c>
      <c r="N14" s="669" t="s">
        <v>401</v>
      </c>
      <c r="O14" s="820"/>
      <c r="P14" s="669" t="s">
        <v>400</v>
      </c>
      <c r="Q14" s="669" t="s">
        <v>401</v>
      </c>
      <c r="X14" s="668"/>
      <c r="Y14" s="668"/>
    </row>
    <row r="15" spans="1:25" ht="14.25" customHeight="1">
      <c r="A15" s="728"/>
      <c r="C15" s="671">
        <v>0.05</v>
      </c>
      <c r="D15" s="671">
        <v>0.05</v>
      </c>
      <c r="G15" s="672"/>
      <c r="H15" s="672"/>
      <c r="I15" s="672"/>
      <c r="J15" s="672"/>
      <c r="K15" s="672"/>
      <c r="L15" s="672"/>
      <c r="O15" s="672"/>
    </row>
    <row r="16" spans="1:25" ht="14.25" customHeight="1">
      <c r="A16" s="728" t="s">
        <v>568</v>
      </c>
      <c r="B16" s="729">
        <f>'General Motors'!K63</f>
        <v>14934</v>
      </c>
      <c r="C16" s="673">
        <f>CHOOSE($H$2, Output!$I$19, Output!$I$20, Output!$I$21)*(1-Valuation!$C$6)</f>
        <v>22.11802350206025</v>
      </c>
      <c r="D16" s="673">
        <f>CHOOSE($H$2, Output!$I$19, Output!$I$20, Output!$I$21)*(1+Valuation!$C$6)</f>
        <v>24.44623650227712</v>
      </c>
      <c r="E16" s="729">
        <f>$B16*C16</f>
        <v>330310.5629797678</v>
      </c>
      <c r="F16" s="729">
        <f>$B16*D16</f>
        <v>365080.09592500649</v>
      </c>
      <c r="G16" s="730">
        <f>'General Motors'!$F$19</f>
        <v>2518</v>
      </c>
      <c r="H16" s="730">
        <f>'General Motors'!$F$23</f>
        <v>130632</v>
      </c>
      <c r="I16" s="731">
        <f>'General Motors'!$F$27+'General Motors'!$F$28</f>
        <v>-4261</v>
      </c>
      <c r="J16" s="731"/>
      <c r="K16" s="730">
        <f>'General Motors'!$F$29</f>
        <v>27137</v>
      </c>
      <c r="L16" s="730">
        <f>'General Motors'!$F$31</f>
        <v>7102</v>
      </c>
      <c r="M16" s="729">
        <f>E16-$G16-$H16-$I16+$K16+$L16</f>
        <v>235660.5629797678</v>
      </c>
      <c r="N16" s="729">
        <f>F16-$G16-$H16-$I16+$K16+$L16</f>
        <v>270430.09592500649</v>
      </c>
      <c r="O16" s="731">
        <f>'General Motors'!$C$17</f>
        <v>1129</v>
      </c>
      <c r="P16" s="729">
        <f>M16/$O16</f>
        <v>208.73389103610964</v>
      </c>
      <c r="Q16" s="729">
        <f>N16/$O16</f>
        <v>239.53064298051947</v>
      </c>
    </row>
    <row r="17" spans="1:17" ht="14.25" customHeight="1">
      <c r="A17" s="728" t="s">
        <v>569</v>
      </c>
      <c r="B17" s="729">
        <f>'General Motors'!L63</f>
        <v>14041</v>
      </c>
      <c r="C17" s="673">
        <f>CHOOSE($H$2, Output!$N$19, Output!$N$20, Output!$N$21)*(1-Valuation!$C$6)</f>
        <v>22.002330583133432</v>
      </c>
      <c r="D17" s="673">
        <f>CHOOSE($H$2, Output!$N$19, Output!$N$20, Output!$N$21)*(1+Valuation!$C$6)</f>
        <v>24.318365381358003</v>
      </c>
      <c r="E17" s="729">
        <f t="shared" ref="E17:F18" si="3">$B17*C17</f>
        <v>308934.72371777653</v>
      </c>
      <c r="F17" s="729">
        <f t="shared" si="3"/>
        <v>341454.16831964772</v>
      </c>
      <c r="G17" s="730">
        <f>'General Motors'!$F$19</f>
        <v>2518</v>
      </c>
      <c r="H17" s="730">
        <f>'General Motors'!$F$23</f>
        <v>130632</v>
      </c>
      <c r="I17" s="731">
        <f>'General Motors'!$F$27+'General Motors'!$F$28</f>
        <v>-4261</v>
      </c>
      <c r="J17" s="731"/>
      <c r="K17" s="730">
        <f>'General Motors'!$F$29</f>
        <v>27137</v>
      </c>
      <c r="L17" s="730">
        <f>'General Motors'!$F$31</f>
        <v>7102</v>
      </c>
      <c r="M17" s="729">
        <f t="shared" ref="M17:N18" si="4">E17-$G17-$H17-$I17+$K17+$L17</f>
        <v>214284.72371777653</v>
      </c>
      <c r="N17" s="729">
        <f>F17-$G17-$H17-$I17+$K17+$L17</f>
        <v>246804.16831964772</v>
      </c>
      <c r="O17" s="731">
        <f>'General Motors'!$C$17</f>
        <v>1129</v>
      </c>
      <c r="P17" s="729">
        <f t="shared" ref="P17:Q18" si="5">M17/$O17</f>
        <v>189.80046387757</v>
      </c>
      <c r="Q17" s="729">
        <f t="shared" si="5"/>
        <v>218.60422348950198</v>
      </c>
    </row>
    <row r="18" spans="1:17" ht="14.25" customHeight="1">
      <c r="A18" s="728" t="s">
        <v>570</v>
      </c>
      <c r="B18" s="729">
        <f>'General Motors'!M63</f>
        <v>13938</v>
      </c>
      <c r="C18" s="673">
        <f>CHOOSE($H$2, Output!$S$19, Output!$S$20, Output!$S$21)*(1-Valuation!$C$6)</f>
        <v>15.642681447368926</v>
      </c>
      <c r="D18" s="673">
        <f>CHOOSE($H$2, Output!$S$19, Output!$S$20, Output!$S$21)*(1+Valuation!$C$6)</f>
        <v>17.289279494460391</v>
      </c>
      <c r="E18" s="729">
        <f t="shared" si="3"/>
        <v>218027.69401342809</v>
      </c>
      <c r="F18" s="729">
        <f t="shared" si="3"/>
        <v>240977.97759378894</v>
      </c>
      <c r="G18" s="730">
        <f>'General Motors'!$F$19</f>
        <v>2518</v>
      </c>
      <c r="H18" s="730">
        <f>'General Motors'!$F$23</f>
        <v>130632</v>
      </c>
      <c r="I18" s="731">
        <f>'General Motors'!$F$27+'General Motors'!$F$28</f>
        <v>-4261</v>
      </c>
      <c r="J18" s="731"/>
      <c r="K18" s="730">
        <f>'General Motors'!$F$29</f>
        <v>27137</v>
      </c>
      <c r="L18" s="730">
        <f>'General Motors'!$F$31</f>
        <v>7102</v>
      </c>
      <c r="M18" s="729">
        <f t="shared" si="4"/>
        <v>123377.69401342809</v>
      </c>
      <c r="N18" s="729">
        <f t="shared" si="4"/>
        <v>146327.97759378894</v>
      </c>
      <c r="O18" s="731">
        <f>'General Motors'!$C$17</f>
        <v>1129</v>
      </c>
      <c r="P18" s="729">
        <f t="shared" si="5"/>
        <v>109.28050842641991</v>
      </c>
      <c r="Q18" s="729">
        <f t="shared" si="5"/>
        <v>129.60848325402031</v>
      </c>
    </row>
    <row r="19" spans="1:17" ht="14.25" customHeight="1" thickBot="1">
      <c r="A19" s="728"/>
    </row>
    <row r="20" spans="1:17" ht="14.25" customHeight="1" thickBot="1">
      <c r="A20" s="728"/>
      <c r="L20" s="829" t="s">
        <v>612</v>
      </c>
      <c r="M20" s="829"/>
      <c r="N20" s="829"/>
      <c r="O20" s="830"/>
      <c r="P20" s="674">
        <f>AVERAGE(P16:P18)</f>
        <v>169.27162111336654</v>
      </c>
      <c r="Q20" s="675">
        <f>AVERAGE(Q16:Q18)</f>
        <v>195.91444990801392</v>
      </c>
    </row>
    <row r="21" spans="1:17" ht="14.25" customHeight="1">
      <c r="A21" s="728"/>
    </row>
    <row r="22" spans="1:17" s="447" customFormat="1" ht="14.25" customHeight="1">
      <c r="A22" s="728"/>
      <c r="B22" s="669" t="s">
        <v>571</v>
      </c>
      <c r="C22" s="824" t="s">
        <v>559</v>
      </c>
      <c r="D22" s="825"/>
      <c r="E22" s="824" t="s">
        <v>609</v>
      </c>
      <c r="F22" s="825"/>
      <c r="G22" s="826" t="s">
        <v>446</v>
      </c>
      <c r="H22" s="826" t="s">
        <v>560</v>
      </c>
      <c r="I22" s="826" t="s">
        <v>561</v>
      </c>
      <c r="J22" s="670"/>
      <c r="K22" s="826" t="s">
        <v>562</v>
      </c>
      <c r="L22" s="831" t="s">
        <v>563</v>
      </c>
      <c r="M22" s="824" t="s">
        <v>564</v>
      </c>
      <c r="N22" s="825"/>
      <c r="O22" s="826" t="s">
        <v>565</v>
      </c>
      <c r="P22" s="824" t="s">
        <v>608</v>
      </c>
      <c r="Q22" s="825"/>
    </row>
    <row r="23" spans="1:17" s="447" customFormat="1" ht="14.25" customHeight="1">
      <c r="A23" s="728"/>
      <c r="B23" s="669" t="s">
        <v>399</v>
      </c>
      <c r="C23" s="669" t="s">
        <v>400</v>
      </c>
      <c r="D23" s="669" t="s">
        <v>401</v>
      </c>
      <c r="E23" s="669" t="s">
        <v>400</v>
      </c>
      <c r="F23" s="669" t="s">
        <v>401</v>
      </c>
      <c r="G23" s="820"/>
      <c r="H23" s="820"/>
      <c r="I23" s="820"/>
      <c r="J23" s="638"/>
      <c r="K23" s="820"/>
      <c r="L23" s="832"/>
      <c r="M23" s="669" t="s">
        <v>400</v>
      </c>
      <c r="N23" s="669" t="s">
        <v>401</v>
      </c>
      <c r="O23" s="820"/>
      <c r="P23" s="669" t="s">
        <v>400</v>
      </c>
      <c r="Q23" s="669" t="s">
        <v>401</v>
      </c>
    </row>
    <row r="24" spans="1:17" ht="14.25" customHeight="1">
      <c r="A24" s="728"/>
      <c r="C24" s="671">
        <v>0.1</v>
      </c>
      <c r="D24" s="671">
        <v>0.1</v>
      </c>
      <c r="G24" s="672"/>
      <c r="H24" s="672"/>
      <c r="I24" s="672"/>
      <c r="J24" s="672"/>
      <c r="K24" s="672"/>
      <c r="L24" s="672"/>
      <c r="O24" s="672"/>
    </row>
    <row r="25" spans="1:17" ht="14.25" customHeight="1">
      <c r="A25" s="728" t="s">
        <v>572</v>
      </c>
      <c r="B25" s="729">
        <f>'General Motors'!K59</f>
        <v>187442</v>
      </c>
      <c r="C25" s="673">
        <f>CHOOSE($H$2, Output!$G$19, Output!$G$20, Output!$G$21)*(1-Valuation!$C$6)</f>
        <v>1.1793676792556747</v>
      </c>
      <c r="D25" s="673">
        <f>CHOOSE($H$2, Output!$G$19, Output!$G$20, Output!$G$21)*(1+Valuation!$C$6)</f>
        <v>1.3035116454931142</v>
      </c>
      <c r="E25" s="729">
        <f>$B25*C25</f>
        <v>221063.03653504216</v>
      </c>
      <c r="F25" s="729">
        <f>$B25*D25</f>
        <v>244332.8298545203</v>
      </c>
      <c r="G25" s="730">
        <f>'General Motors'!$F$19</f>
        <v>2518</v>
      </c>
      <c r="H25" s="730">
        <f>'General Motors'!$F$23</f>
        <v>130632</v>
      </c>
      <c r="I25" s="731">
        <f>'General Motors'!$F$27+'General Motors'!$F$28</f>
        <v>-4261</v>
      </c>
      <c r="J25" s="731"/>
      <c r="K25" s="730">
        <f>'General Motors'!$F$29</f>
        <v>27137</v>
      </c>
      <c r="L25" s="730">
        <f>'General Motors'!$F$31</f>
        <v>7102</v>
      </c>
      <c r="M25" s="729">
        <f>E25-$G25-$H25-$I25+$K25+$L25</f>
        <v>126413.03653504216</v>
      </c>
      <c r="N25" s="729">
        <f>F25-$G25-$H25-$I25+$K25+$L25</f>
        <v>149682.8298545203</v>
      </c>
      <c r="O25" s="731">
        <f>'General Motors'!$C$17</f>
        <v>1129</v>
      </c>
      <c r="P25" s="729">
        <f>M25/$O25</f>
        <v>111.96903147479377</v>
      </c>
      <c r="Q25" s="729">
        <f>N25/$O25</f>
        <v>132.58000872853879</v>
      </c>
    </row>
    <row r="26" spans="1:17" ht="14.25" customHeight="1">
      <c r="A26" s="728" t="s">
        <v>573</v>
      </c>
      <c r="B26" s="729">
        <f>'General Motors'!L59</f>
        <v>182108</v>
      </c>
      <c r="C26" s="673">
        <f>CHOOSE($H$2, Output!$L$19, Output!$L$20, Output!$L$21)*(1-Valuation!$C$6)</f>
        <v>1.1001022302164052</v>
      </c>
      <c r="D26" s="673">
        <f>CHOOSE($H$2, Output!$L$19, Output!$L$20, Output!$L$21)*(1+Valuation!$C$6)</f>
        <v>1.2159024649760268</v>
      </c>
      <c r="E26" s="729">
        <f t="shared" ref="E26:F27" si="6">$B26*C26</f>
        <v>200337.41694024912</v>
      </c>
      <c r="F26" s="729">
        <f t="shared" si="6"/>
        <v>221425.5660918543</v>
      </c>
      <c r="G26" s="730">
        <f>'General Motors'!$F$19</f>
        <v>2518</v>
      </c>
      <c r="H26" s="730">
        <f>'General Motors'!$F$23</f>
        <v>130632</v>
      </c>
      <c r="I26" s="731">
        <f>'General Motors'!$F$27+'General Motors'!$F$28</f>
        <v>-4261</v>
      </c>
      <c r="J26" s="731"/>
      <c r="K26" s="730">
        <f>'General Motors'!$F$29</f>
        <v>27137</v>
      </c>
      <c r="L26" s="730">
        <f>'General Motors'!$F$31</f>
        <v>7102</v>
      </c>
      <c r="M26" s="729">
        <f t="shared" ref="M26:N27" si="7">E26-$G26-$H26-$I26+$K26+$L26</f>
        <v>105687.41694024912</v>
      </c>
      <c r="N26" s="729">
        <f>F26-$G26-$H26-$I26+$K26+$L26</f>
        <v>126775.5660918543</v>
      </c>
      <c r="O26" s="731">
        <f>'General Motors'!$C$17</f>
        <v>1129</v>
      </c>
      <c r="P26" s="729">
        <f t="shared" ref="P26:Q27" si="8">M26/$O26</f>
        <v>93.611529619352638</v>
      </c>
      <c r="Q26" s="729">
        <f t="shared" si="8"/>
        <v>112.29013825673543</v>
      </c>
    </row>
    <row r="27" spans="1:17" ht="14.25" customHeight="1">
      <c r="A27" s="728" t="s">
        <v>574</v>
      </c>
      <c r="B27" s="729">
        <f>'General Motors'!M59</f>
        <v>182376</v>
      </c>
      <c r="C27" s="673">
        <f>CHOOSE($H$2, Output!$Q$19, Output!$Q$20, Output!$Q$21)*(1-Valuation!$C$6)</f>
        <v>0.9349312050934443</v>
      </c>
      <c r="D27" s="673">
        <f>CHOOSE($H$2, Output!$Q$19, Output!$Q$20, Output!$Q$21)*(1+Valuation!$C$6)</f>
        <v>1.0333450161559121</v>
      </c>
      <c r="E27" s="729">
        <f t="shared" si="6"/>
        <v>170509.01346012199</v>
      </c>
      <c r="F27" s="729">
        <f t="shared" si="6"/>
        <v>188457.33066645064</v>
      </c>
      <c r="G27" s="730">
        <f>'General Motors'!$F$19</f>
        <v>2518</v>
      </c>
      <c r="H27" s="730">
        <f>'General Motors'!$F$23</f>
        <v>130632</v>
      </c>
      <c r="I27" s="731">
        <f>'General Motors'!$F$27+'General Motors'!$F$28</f>
        <v>-4261</v>
      </c>
      <c r="J27" s="731"/>
      <c r="K27" s="730">
        <f>'General Motors'!$F$29</f>
        <v>27137</v>
      </c>
      <c r="L27" s="730">
        <f>'General Motors'!$F$31</f>
        <v>7102</v>
      </c>
      <c r="M27" s="729">
        <f t="shared" si="7"/>
        <v>75859.013460121991</v>
      </c>
      <c r="N27" s="729">
        <f t="shared" si="7"/>
        <v>93807.330666450638</v>
      </c>
      <c r="O27" s="731">
        <f>'General Motors'!$C$17</f>
        <v>1129</v>
      </c>
      <c r="P27" s="729">
        <f t="shared" si="8"/>
        <v>67.191331674155876</v>
      </c>
      <c r="Q27" s="729">
        <f t="shared" si="8"/>
        <v>83.088866843623236</v>
      </c>
    </row>
    <row r="28" spans="1:17" ht="14.25" customHeight="1" thickBot="1">
      <c r="A28" s="728"/>
    </row>
    <row r="29" spans="1:17" ht="14.25" customHeight="1" thickBot="1">
      <c r="A29" s="728"/>
      <c r="L29" s="829" t="s">
        <v>610</v>
      </c>
      <c r="M29" s="829"/>
      <c r="N29" s="829"/>
      <c r="O29" s="830"/>
      <c r="P29" s="674">
        <f>AVERAGE(P25:P27)</f>
        <v>90.92396425610076</v>
      </c>
      <c r="Q29" s="675">
        <f>AVERAGE(Q25:Q27)</f>
        <v>109.31967127629916</v>
      </c>
    </row>
    <row r="30" spans="1:17" ht="14.25" customHeight="1">
      <c r="A30" s="728"/>
    </row>
    <row r="31" spans="1:17" s="447" customFormat="1" ht="14.25" customHeight="1">
      <c r="A31" s="728"/>
      <c r="B31" s="732" t="s">
        <v>575</v>
      </c>
      <c r="C31" s="824" t="s">
        <v>559</v>
      </c>
      <c r="D31" s="825"/>
      <c r="E31" s="824" t="s">
        <v>564</v>
      </c>
      <c r="F31" s="825"/>
      <c r="G31" s="826" t="s">
        <v>565</v>
      </c>
      <c r="H31" s="733" t="s">
        <v>608</v>
      </c>
      <c r="I31" s="733"/>
      <c r="J31" s="669"/>
    </row>
    <row r="32" spans="1:17" s="447" customFormat="1" ht="14.25" customHeight="1">
      <c r="A32" s="728"/>
      <c r="B32" s="669" t="s">
        <v>399</v>
      </c>
      <c r="C32" s="669" t="s">
        <v>400</v>
      </c>
      <c r="D32" s="669" t="s">
        <v>401</v>
      </c>
      <c r="E32" s="669" t="s">
        <v>400</v>
      </c>
      <c r="F32" s="669" t="s">
        <v>401</v>
      </c>
      <c r="G32" s="820"/>
      <c r="H32" s="669" t="s">
        <v>400</v>
      </c>
      <c r="I32" s="669" t="s">
        <v>401</v>
      </c>
      <c r="J32" s="669"/>
    </row>
    <row r="33" spans="1:10" ht="14.25" customHeight="1">
      <c r="A33" s="728"/>
      <c r="C33" s="671">
        <v>0.1</v>
      </c>
      <c r="D33" s="671">
        <v>0.1</v>
      </c>
      <c r="G33" s="672"/>
    </row>
    <row r="34" spans="1:10" ht="14.25" customHeight="1">
      <c r="A34" s="728" t="s">
        <v>576</v>
      </c>
      <c r="B34" s="729">
        <f>'General Motors'!K74</f>
        <v>12879.39</v>
      </c>
      <c r="C34" s="673">
        <f>CHOOSE($H$2, Output!$J$19, Output!$J$20, Output!$J$21)*(1-Valuation!$C$6)</f>
        <v>11.778882772028444</v>
      </c>
      <c r="D34" s="673">
        <f>CHOOSE($H$2, Output!$J$19, Output!$J$20, Output!$J$21)*(1+Valuation!$C$6)</f>
        <v>13.018765169084071</v>
      </c>
      <c r="E34" s="729">
        <f>$B34*C34</f>
        <v>151704.82498523541</v>
      </c>
      <c r="F34" s="729">
        <f>$B34*D34</f>
        <v>167673.75393104969</v>
      </c>
      <c r="G34" s="731">
        <f>$O$25</f>
        <v>1129</v>
      </c>
      <c r="H34" s="729">
        <f>E34/$G34</f>
        <v>134.37096987177625</v>
      </c>
      <c r="I34" s="729">
        <f>F34/$G34</f>
        <v>148.51528248985801</v>
      </c>
      <c r="J34" s="729"/>
    </row>
    <row r="35" spans="1:10" ht="14.25" customHeight="1">
      <c r="A35" s="728" t="s">
        <v>577</v>
      </c>
      <c r="B35" s="729">
        <f>'General Motors'!L74</f>
        <v>10708</v>
      </c>
      <c r="C35" s="673">
        <f>CHOOSE($H$2, Output!$O$19, Output!$O$20, Output!$O$21)*(1-Valuation!$C$6)</f>
        <v>14.689257575012016</v>
      </c>
      <c r="D35" s="673">
        <f>CHOOSE($H$2, Output!$O$19, Output!$O$20, Output!$O$21)*(1+Valuation!$C$6)</f>
        <v>16.235495214486967</v>
      </c>
      <c r="E35" s="729">
        <f t="shared" ref="E35:F36" si="9">$B35*C35</f>
        <v>157292.57011322866</v>
      </c>
      <c r="F35" s="729">
        <f t="shared" si="9"/>
        <v>173849.68275672646</v>
      </c>
      <c r="G35" s="731">
        <f t="shared" ref="G35:G36" si="10">$O$25</f>
        <v>1129</v>
      </c>
      <c r="H35" s="729">
        <f t="shared" ref="H35:I36" si="11">E35/$G35</f>
        <v>139.32025696477297</v>
      </c>
      <c r="I35" s="729">
        <f t="shared" si="11"/>
        <v>153.98554717159118</v>
      </c>
      <c r="J35" s="729"/>
    </row>
    <row r="36" spans="1:10" ht="14.25" customHeight="1">
      <c r="A36" s="728" t="s">
        <v>578</v>
      </c>
      <c r="B36" s="729">
        <f>'General Motors'!M74</f>
        <v>10504</v>
      </c>
      <c r="C36" s="673">
        <f>CHOOSE($H$2, Output!$T$19, Output!$T$20, Output!$T$21)*(1-Valuation!$C$6)</f>
        <v>3.0670654089858109</v>
      </c>
      <c r="D36" s="673">
        <f>CHOOSE($H$2, Output!$T$19, Output!$T$20, Output!$T$21)*(1+Valuation!$C$6)</f>
        <v>3.3899143994053702</v>
      </c>
      <c r="E36" s="729">
        <f t="shared" si="9"/>
        <v>32216.455055986957</v>
      </c>
      <c r="F36" s="729">
        <f t="shared" si="9"/>
        <v>35607.660851354012</v>
      </c>
      <c r="G36" s="731">
        <f t="shared" si="10"/>
        <v>1129</v>
      </c>
      <c r="H36" s="729">
        <f t="shared" si="11"/>
        <v>28.535389775010589</v>
      </c>
      <c r="I36" s="729">
        <f t="shared" si="11"/>
        <v>31.539115014485397</v>
      </c>
      <c r="J36" s="729"/>
    </row>
    <row r="37" spans="1:10" ht="14.25" customHeight="1" thickBot="1"/>
    <row r="38" spans="1:10" ht="14.25" customHeight="1" thickBot="1">
      <c r="C38" s="833" t="s">
        <v>580</v>
      </c>
      <c r="D38" s="833"/>
      <c r="E38" s="833"/>
      <c r="F38" s="833"/>
      <c r="G38" s="834"/>
      <c r="H38" s="674">
        <f>AVERAGE(H34:H36)</f>
        <v>100.74220553718659</v>
      </c>
      <c r="I38" s="675">
        <f>AVERAGE(I34:I35)</f>
        <v>151.25041483072459</v>
      </c>
      <c r="J38" s="676"/>
    </row>
    <row r="43" spans="1:10">
      <c r="D43" s="677">
        <f>H38</f>
        <v>100.74220553718659</v>
      </c>
      <c r="H43" s="677">
        <f>I38</f>
        <v>151.25041483072459</v>
      </c>
    </row>
    <row r="44" spans="1:10">
      <c r="C44" s="634" t="s">
        <v>579</v>
      </c>
      <c r="E44" s="678"/>
      <c r="F44" s="678"/>
      <c r="G44" s="678"/>
      <c r="I44" s="679" t="str">
        <f>IF(F47&gt;H43,"OVERVALUED-SELL",IF(F47&lt;D43,"UNDERVALUED-BUY", "HOLD"))</f>
        <v>UNDERVALUED-BUY</v>
      </c>
      <c r="J44" s="679"/>
    </row>
    <row r="47" spans="1:10">
      <c r="E47" s="634" t="s">
        <v>528</v>
      </c>
      <c r="F47">
        <v>45.9</v>
      </c>
    </row>
    <row r="65" spans="2:6">
      <c r="F65" s="634"/>
    </row>
    <row r="66" spans="2:6">
      <c r="B66" s="634"/>
      <c r="C66" s="634"/>
      <c r="F66" s="679"/>
    </row>
    <row r="67" spans="2:6">
      <c r="B67" s="634"/>
    </row>
    <row r="68" spans="2:6">
      <c r="B68" s="634"/>
    </row>
    <row r="71" spans="2:6">
      <c r="B71" s="81"/>
    </row>
    <row r="73" spans="2:6">
      <c r="B73" s="634"/>
    </row>
    <row r="76" spans="2:6">
      <c r="B76" s="81"/>
    </row>
    <row r="78" spans="2:6">
      <c r="B78" s="634"/>
      <c r="C78" s="634"/>
    </row>
    <row r="82" spans="2:8">
      <c r="B82" s="634"/>
    </row>
    <row r="86" spans="2:8">
      <c r="C86" s="679"/>
      <c r="D86" s="447"/>
      <c r="E86" s="447"/>
      <c r="F86" s="679"/>
    </row>
    <row r="87" spans="2:8" ht="21">
      <c r="C87" s="679"/>
      <c r="D87" s="447"/>
      <c r="E87" s="680"/>
      <c r="F87" s="679"/>
      <c r="H87" s="634"/>
    </row>
    <row r="90" spans="2:8">
      <c r="C90" s="634"/>
    </row>
    <row r="91" spans="2:8">
      <c r="D91" s="634"/>
    </row>
    <row r="95" spans="2:8">
      <c r="C95" s="679"/>
      <c r="D95" s="447"/>
      <c r="E95" s="447"/>
      <c r="F95" s="679"/>
    </row>
    <row r="96" spans="2:8" ht="21">
      <c r="C96" s="679"/>
      <c r="D96" s="447"/>
      <c r="E96" s="680"/>
      <c r="F96" s="679"/>
      <c r="H96" s="634"/>
    </row>
    <row r="99" spans="3:4">
      <c r="C99" s="634"/>
    </row>
    <row r="100" spans="3:4">
      <c r="D100" s="634"/>
    </row>
  </sheetData>
  <mergeCells count="38">
    <mergeCell ref="C38:G38"/>
    <mergeCell ref="K11:O11"/>
    <mergeCell ref="C2:D2"/>
    <mergeCell ref="L22:L23"/>
    <mergeCell ref="M22:N22"/>
    <mergeCell ref="O22:O23"/>
    <mergeCell ref="K13:K14"/>
    <mergeCell ref="L13:L14"/>
    <mergeCell ref="M13:N13"/>
    <mergeCell ref="O13:O14"/>
    <mergeCell ref="C13:D13"/>
    <mergeCell ref="E13:F13"/>
    <mergeCell ref="G13:G14"/>
    <mergeCell ref="H13:H14"/>
    <mergeCell ref="I13:I14"/>
    <mergeCell ref="K4:K5"/>
    <mergeCell ref="P22:Q22"/>
    <mergeCell ref="L29:O29"/>
    <mergeCell ref="C31:D31"/>
    <mergeCell ref="E31:F31"/>
    <mergeCell ref="G31:G32"/>
    <mergeCell ref="C22:D22"/>
    <mergeCell ref="E22:F22"/>
    <mergeCell ref="G22:G23"/>
    <mergeCell ref="H22:H23"/>
    <mergeCell ref="I22:I23"/>
    <mergeCell ref="K22:K23"/>
    <mergeCell ref="P13:Q13"/>
    <mergeCell ref="L20:O20"/>
    <mergeCell ref="L4:L5"/>
    <mergeCell ref="M4:N4"/>
    <mergeCell ref="O4:O5"/>
    <mergeCell ref="P4:Q4"/>
    <mergeCell ref="C4:D4"/>
    <mergeCell ref="E4:F4"/>
    <mergeCell ref="G4:G5"/>
    <mergeCell ref="H4:H5"/>
    <mergeCell ref="I4:I5"/>
  </mergeCells>
  <dataValidations disablePrompts="1" count="1">
    <dataValidation type="list" allowBlank="1" showInputMessage="1" showErrorMessage="1" sqref="G2" xr:uid="{00000000-0002-0000-0E00-000000000000}">
      <formula1>$X$2:$X$4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4"/>
  <sheetViews>
    <sheetView workbookViewId="0">
      <selection activeCell="H25" sqref="H25"/>
    </sheetView>
  </sheetViews>
  <sheetFormatPr defaultRowHeight="15"/>
  <cols>
    <col min="1" max="1" width="22.28515625" bestFit="1" customWidth="1"/>
    <col min="2" max="2" width="21.85546875" bestFit="1" customWidth="1"/>
    <col min="9" max="9" width="10.5703125" bestFit="1" customWidth="1"/>
    <col min="11" max="11" width="29.42578125" bestFit="1" customWidth="1"/>
    <col min="12" max="12" width="12.7109375" customWidth="1"/>
    <col min="13" max="13" width="14.42578125" customWidth="1"/>
  </cols>
  <sheetData>
    <row r="1" spans="1:13">
      <c r="B1" s="443" t="s">
        <v>394</v>
      </c>
      <c r="C1" s="443"/>
      <c r="D1" s="443"/>
      <c r="E1" s="443"/>
      <c r="F1" s="443"/>
      <c r="G1" s="443"/>
      <c r="H1" s="443"/>
      <c r="I1" s="443"/>
      <c r="J1" s="443"/>
      <c r="M1" s="697">
        <v>45719</v>
      </c>
    </row>
    <row r="2" spans="1:13" ht="15.75" thickBot="1">
      <c r="A2" t="s">
        <v>429</v>
      </c>
    </row>
    <row r="3" spans="1:13">
      <c r="E3" s="838" t="s">
        <v>395</v>
      </c>
      <c r="F3" s="838"/>
      <c r="H3" s="838" t="s">
        <v>396</v>
      </c>
      <c r="I3" s="838"/>
      <c r="K3" s="444" t="s">
        <v>397</v>
      </c>
      <c r="L3" s="839" t="s">
        <v>398</v>
      </c>
      <c r="M3" s="840"/>
    </row>
    <row r="4" spans="1:13">
      <c r="D4" t="s">
        <v>399</v>
      </c>
      <c r="E4" s="445" t="s">
        <v>400</v>
      </c>
      <c r="F4" s="445" t="s">
        <v>401</v>
      </c>
      <c r="H4" s="445" t="s">
        <v>400</v>
      </c>
      <c r="I4" s="445" t="s">
        <v>401</v>
      </c>
      <c r="K4" s="116"/>
      <c r="L4" s="445" t="s">
        <v>402</v>
      </c>
      <c r="M4" s="446" t="s">
        <v>403</v>
      </c>
    </row>
    <row r="5" spans="1:13">
      <c r="A5" t="s">
        <v>404</v>
      </c>
      <c r="K5" s="116" t="s">
        <v>405</v>
      </c>
      <c r="L5" s="447" t="s">
        <v>406</v>
      </c>
      <c r="M5" s="448" t="s">
        <v>406</v>
      </c>
    </row>
    <row r="6" spans="1:13">
      <c r="A6" t="s">
        <v>407</v>
      </c>
      <c r="B6" s="449"/>
      <c r="H6" s="56">
        <f>DCF!R29</f>
        <v>44.946903724946665</v>
      </c>
      <c r="I6" s="56">
        <f>DCF!N33</f>
        <v>84.688283013230574</v>
      </c>
      <c r="K6" s="116" t="s">
        <v>408</v>
      </c>
      <c r="L6" s="447" t="s">
        <v>406</v>
      </c>
      <c r="M6" s="448" t="s">
        <v>406</v>
      </c>
    </row>
    <row r="7" spans="1:13">
      <c r="A7" t="s">
        <v>409</v>
      </c>
      <c r="H7" s="56">
        <f>DCF!R44</f>
        <v>149.95573074506083</v>
      </c>
      <c r="I7" s="56">
        <f>DCF!N48</f>
        <v>173.52276302729842</v>
      </c>
      <c r="K7" s="116" t="s">
        <v>410</v>
      </c>
      <c r="L7" s="447" t="s">
        <v>406</v>
      </c>
      <c r="M7" s="448" t="s">
        <v>406</v>
      </c>
    </row>
    <row r="8" spans="1:13">
      <c r="K8" s="116" t="s">
        <v>411</v>
      </c>
      <c r="L8" s="447" t="s">
        <v>406</v>
      </c>
      <c r="M8" s="448" t="s">
        <v>412</v>
      </c>
    </row>
    <row r="9" spans="1:13">
      <c r="A9" t="s">
        <v>413</v>
      </c>
      <c r="K9" s="116" t="s">
        <v>414</v>
      </c>
      <c r="L9" s="447" t="s">
        <v>406</v>
      </c>
      <c r="M9" s="448" t="s">
        <v>412</v>
      </c>
    </row>
    <row r="10" spans="1:13" ht="15.75" thickBot="1">
      <c r="A10" t="s">
        <v>415</v>
      </c>
      <c r="B10" s="449"/>
      <c r="K10" s="450" t="s">
        <v>416</v>
      </c>
      <c r="L10" s="451" t="s">
        <v>406</v>
      </c>
      <c r="M10" s="452" t="s">
        <v>412</v>
      </c>
    </row>
    <row r="11" spans="1:13">
      <c r="A11" t="s">
        <v>417</v>
      </c>
      <c r="H11" s="56">
        <f>Valuation!P11</f>
        <v>221.32800786833852</v>
      </c>
      <c r="I11" s="56">
        <f>Valuation!Q11</f>
        <v>253.45045632140406</v>
      </c>
    </row>
    <row r="12" spans="1:13">
      <c r="A12" t="s">
        <v>418</v>
      </c>
      <c r="H12" s="56">
        <f>Valuation!P20</f>
        <v>169.27162111336654</v>
      </c>
      <c r="I12" s="56">
        <f>Valuation!Q20</f>
        <v>195.91444990801392</v>
      </c>
    </row>
    <row r="13" spans="1:13">
      <c r="A13" t="s">
        <v>419</v>
      </c>
      <c r="H13" s="56">
        <f>Valuation!P29</f>
        <v>90.92396425610076</v>
      </c>
      <c r="I13" s="56">
        <f>Valuation!Q29</f>
        <v>109.31967127629916</v>
      </c>
    </row>
    <row r="14" spans="1:13">
      <c r="A14" t="s">
        <v>420</v>
      </c>
      <c r="H14" s="56">
        <f>Valuation!H38</f>
        <v>100.74220553718659</v>
      </c>
      <c r="I14" s="56">
        <f>Valuation!I38</f>
        <v>151.25041483072459</v>
      </c>
      <c r="K14" t="s">
        <v>421</v>
      </c>
    </row>
    <row r="15" spans="1:13">
      <c r="A15" t="s">
        <v>422</v>
      </c>
    </row>
    <row r="16" spans="1:13">
      <c r="A16" t="s">
        <v>423</v>
      </c>
    </row>
    <row r="17" spans="1:9">
      <c r="A17" t="s">
        <v>424</v>
      </c>
    </row>
    <row r="18" spans="1:9">
      <c r="A18" t="s">
        <v>425</v>
      </c>
      <c r="E18" s="369"/>
      <c r="F18" s="369"/>
    </row>
    <row r="20" spans="1:9">
      <c r="A20" t="s">
        <v>414</v>
      </c>
      <c r="B20" s="449" t="s">
        <v>582</v>
      </c>
      <c r="H20">
        <v>34</v>
      </c>
      <c r="I20">
        <v>105</v>
      </c>
    </row>
    <row r="22" spans="1:9">
      <c r="A22" t="s">
        <v>416</v>
      </c>
      <c r="B22" s="449" t="s">
        <v>426</v>
      </c>
      <c r="H22">
        <v>38.96</v>
      </c>
      <c r="I22">
        <v>61.24</v>
      </c>
    </row>
    <row r="23" spans="1:9">
      <c r="B23" s="449"/>
    </row>
    <row r="24" spans="1:9">
      <c r="A24" t="s">
        <v>427</v>
      </c>
      <c r="B24" t="s">
        <v>428</v>
      </c>
      <c r="H24">
        <v>47.03</v>
      </c>
    </row>
  </sheetData>
  <mergeCells count="3">
    <mergeCell ref="E3:F3"/>
    <mergeCell ref="H3:I3"/>
    <mergeCell ref="L3:M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tabSelected="1" topLeftCell="A22" workbookViewId="0">
      <selection activeCell="E55" sqref="E55"/>
    </sheetView>
  </sheetViews>
  <sheetFormatPr defaultRowHeight="15"/>
  <cols>
    <col min="2" max="2" width="37.28515625" style="1" customWidth="1"/>
    <col min="3" max="3" width="14.140625" customWidth="1"/>
    <col min="4" max="4" width="13.42578125" customWidth="1"/>
    <col min="5" max="5" width="16.5703125" customWidth="1"/>
    <col min="10" max="10" width="16" customWidth="1"/>
    <col min="11" max="11" width="14.42578125" customWidth="1"/>
  </cols>
  <sheetData>
    <row r="1" spans="1:13">
      <c r="A1" s="1" t="s">
        <v>583</v>
      </c>
    </row>
    <row r="2" spans="1:13" s="1" customFormat="1">
      <c r="B2" s="1" t="s">
        <v>397</v>
      </c>
      <c r="C2" s="688" t="s">
        <v>400</v>
      </c>
      <c r="D2" s="688" t="s">
        <v>584</v>
      </c>
      <c r="E2" s="688" t="s">
        <v>401</v>
      </c>
    </row>
    <row r="3" spans="1:13">
      <c r="B3" t="s">
        <v>407</v>
      </c>
      <c r="C3" s="714">
        <f>'Input for football field'!H6</f>
        <v>44.946903724946665</v>
      </c>
      <c r="D3" s="714">
        <f>E3-C3</f>
        <v>39.741379288283909</v>
      </c>
      <c r="E3" s="714">
        <f>'Input for football field'!I6</f>
        <v>84.688283013230574</v>
      </c>
    </row>
    <row r="4" spans="1:13">
      <c r="B4" t="s">
        <v>409</v>
      </c>
      <c r="C4" s="714">
        <f>'Input for football field'!H7</f>
        <v>149.95573074506083</v>
      </c>
      <c r="D4" s="714">
        <f t="shared" ref="D4:D10" si="0">E4-C4</f>
        <v>23.567032282237591</v>
      </c>
      <c r="E4" s="714">
        <f>'Input for football field'!I7</f>
        <v>173.52276302729842</v>
      </c>
    </row>
    <row r="5" spans="1:13">
      <c r="B5" s="713" t="s">
        <v>419</v>
      </c>
      <c r="C5" s="714">
        <f>'Input for football field'!H13</f>
        <v>90.92396425610076</v>
      </c>
      <c r="D5" s="714">
        <f t="shared" si="0"/>
        <v>18.395707020198401</v>
      </c>
      <c r="E5" s="714">
        <f>'Input for football field'!I13</f>
        <v>109.31967127629916</v>
      </c>
    </row>
    <row r="6" spans="1:13">
      <c r="B6" t="s">
        <v>418</v>
      </c>
      <c r="C6" s="714">
        <f>'Input for football field'!H12</f>
        <v>169.27162111336654</v>
      </c>
      <c r="D6" s="714">
        <f t="shared" si="0"/>
        <v>26.642828794647386</v>
      </c>
      <c r="E6" s="714">
        <f>'Input for football field'!I12</f>
        <v>195.91444990801392</v>
      </c>
    </row>
    <row r="7" spans="1:13">
      <c r="B7" t="s">
        <v>420</v>
      </c>
      <c r="C7" s="714">
        <f>'Input for football field'!H14</f>
        <v>100.74220553718659</v>
      </c>
      <c r="D7" s="714">
        <f t="shared" si="0"/>
        <v>50.508209293538002</v>
      </c>
      <c r="E7" s="714">
        <f>'Input for football field'!I14</f>
        <v>151.25041483072459</v>
      </c>
    </row>
    <row r="8" spans="1:13">
      <c r="B8" t="s">
        <v>414</v>
      </c>
      <c r="C8" s="714">
        <f>'Input for football field'!H20</f>
        <v>34</v>
      </c>
      <c r="D8" s="714">
        <f t="shared" si="0"/>
        <v>71</v>
      </c>
      <c r="E8" s="714">
        <f>'Input for football field'!I20</f>
        <v>105</v>
      </c>
    </row>
    <row r="9" spans="1:13">
      <c r="B9" t="s">
        <v>416</v>
      </c>
      <c r="C9" s="714">
        <f>'Input for football field'!H22</f>
        <v>38.96</v>
      </c>
      <c r="D9" s="714">
        <f t="shared" si="0"/>
        <v>22.28</v>
      </c>
      <c r="E9" s="714">
        <f>'Input for football field'!I22</f>
        <v>61.24</v>
      </c>
      <c r="H9" s="689"/>
    </row>
    <row r="10" spans="1:13">
      <c r="B10" t="s">
        <v>585</v>
      </c>
      <c r="C10" s="714">
        <f>'Input for football field'!H24</f>
        <v>47.03</v>
      </c>
      <c r="D10" s="714">
        <f t="shared" si="0"/>
        <v>0</v>
      </c>
      <c r="E10" s="714">
        <f>'Input for football field'!H24</f>
        <v>47.03</v>
      </c>
    </row>
    <row r="11" spans="1:13">
      <c r="B11" t="s">
        <v>586</v>
      </c>
      <c r="C11" s="715">
        <f>MIN(C3:C10)</f>
        <v>34</v>
      </c>
      <c r="D11" s="714"/>
      <c r="E11" s="715">
        <f>MIN(E3:E10)</f>
        <v>47.03</v>
      </c>
    </row>
    <row r="12" spans="1:13">
      <c r="B12" s="766"/>
      <c r="C12" s="273"/>
      <c r="D12" s="273"/>
      <c r="E12" s="273"/>
      <c r="F12" s="273"/>
      <c r="G12" s="273"/>
      <c r="H12" s="273"/>
      <c r="I12" s="273"/>
      <c r="J12" s="273"/>
      <c r="K12" s="273"/>
      <c r="L12" s="273"/>
      <c r="M12" s="273"/>
    </row>
    <row r="13" spans="1:13">
      <c r="B13" s="766"/>
      <c r="C13" s="273"/>
      <c r="D13" s="273"/>
      <c r="E13" s="273"/>
      <c r="F13" s="273"/>
      <c r="G13" s="273"/>
      <c r="H13" s="273"/>
      <c r="I13" s="273"/>
      <c r="J13" s="273"/>
      <c r="K13" s="273"/>
      <c r="L13" s="273"/>
      <c r="M13" s="273"/>
    </row>
    <row r="14" spans="1:13">
      <c r="B14" s="766"/>
      <c r="C14" s="273"/>
      <c r="D14" s="273"/>
      <c r="E14" s="273"/>
      <c r="F14" s="273"/>
      <c r="G14" s="273"/>
      <c r="H14" s="273"/>
      <c r="I14" s="273"/>
      <c r="J14" s="273"/>
      <c r="K14" s="273"/>
      <c r="L14" s="273"/>
      <c r="M14" s="273"/>
    </row>
    <row r="15" spans="1:13">
      <c r="B15" s="766"/>
      <c r="C15" s="273"/>
      <c r="D15" s="273"/>
      <c r="E15" s="273"/>
      <c r="F15" s="273"/>
      <c r="G15" s="273"/>
      <c r="H15" s="273"/>
      <c r="I15" s="273"/>
      <c r="J15" s="273"/>
      <c r="K15" s="273"/>
      <c r="L15" s="273"/>
      <c r="M15" s="273"/>
    </row>
    <row r="16" spans="1:13">
      <c r="B16" s="766"/>
      <c r="C16" s="273"/>
      <c r="D16" s="273"/>
      <c r="E16" s="273"/>
      <c r="F16" s="273"/>
      <c r="G16" s="273"/>
      <c r="H16" s="273"/>
      <c r="I16" s="273"/>
      <c r="J16" s="273"/>
      <c r="K16" s="273"/>
      <c r="L16" s="273"/>
      <c r="M16" s="273"/>
    </row>
    <row r="17" spans="2:19">
      <c r="B17" s="766"/>
      <c r="C17" s="273"/>
      <c r="D17" s="273"/>
      <c r="E17" s="273"/>
      <c r="F17" s="273"/>
      <c r="G17" s="273"/>
      <c r="H17" s="273"/>
      <c r="I17" s="273"/>
      <c r="J17" s="273"/>
      <c r="K17" s="273"/>
      <c r="L17" s="273"/>
      <c r="M17" s="273"/>
    </row>
    <row r="18" spans="2:19">
      <c r="B18" s="766"/>
      <c r="C18" s="273"/>
      <c r="D18" s="273"/>
      <c r="E18" s="273"/>
      <c r="F18" s="273"/>
      <c r="G18" s="273"/>
      <c r="H18" s="273"/>
      <c r="I18" s="273"/>
      <c r="J18" s="273"/>
      <c r="K18" s="273"/>
      <c r="L18" s="273"/>
      <c r="M18" s="273"/>
    </row>
    <row r="19" spans="2:19">
      <c r="B19" s="766"/>
      <c r="C19" s="273"/>
      <c r="D19" s="273"/>
      <c r="E19" s="273"/>
      <c r="F19" s="273"/>
      <c r="G19" s="273"/>
      <c r="H19" s="273"/>
      <c r="I19" s="273"/>
      <c r="J19" s="273"/>
      <c r="K19" s="273"/>
      <c r="L19" s="273"/>
      <c r="M19" s="273"/>
    </row>
    <row r="20" spans="2:19">
      <c r="B20" s="766"/>
      <c r="C20" s="273"/>
      <c r="D20" s="273"/>
      <c r="E20" s="273"/>
      <c r="F20" s="273"/>
      <c r="G20" s="273"/>
      <c r="H20" s="273"/>
      <c r="I20" s="273"/>
      <c r="J20" s="273"/>
      <c r="K20" s="273"/>
      <c r="L20" s="273"/>
      <c r="M20" s="273"/>
    </row>
    <row r="21" spans="2:19">
      <c r="B21" s="766"/>
      <c r="C21" s="273"/>
      <c r="D21" s="273"/>
      <c r="E21" s="273"/>
      <c r="F21" s="273"/>
      <c r="G21" s="273"/>
      <c r="H21" s="273"/>
      <c r="I21" s="273"/>
      <c r="J21" s="273"/>
      <c r="K21" s="273"/>
      <c r="L21" s="273"/>
      <c r="M21" s="273"/>
    </row>
    <row r="22" spans="2:19">
      <c r="B22" s="766"/>
      <c r="C22" s="273"/>
      <c r="D22" s="273"/>
      <c r="E22" s="273"/>
      <c r="F22" s="273"/>
      <c r="G22" s="273"/>
      <c r="H22" s="273"/>
      <c r="I22" s="273"/>
      <c r="J22" s="273"/>
      <c r="K22" s="273"/>
      <c r="L22" s="273"/>
      <c r="M22" s="273"/>
    </row>
    <row r="23" spans="2:19">
      <c r="B23" s="766"/>
      <c r="C23" s="273"/>
      <c r="D23" s="273"/>
      <c r="E23" s="273"/>
      <c r="F23" s="273"/>
      <c r="G23" s="273"/>
      <c r="H23" s="273"/>
      <c r="I23" s="273"/>
      <c r="J23" s="273"/>
      <c r="K23" s="273"/>
      <c r="L23" s="273"/>
      <c r="M23" s="273"/>
    </row>
    <row r="24" spans="2:19">
      <c r="B24" s="766"/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/>
      <c r="S24" t="s">
        <v>587</v>
      </c>
    </row>
    <row r="25" spans="2:19">
      <c r="B25" s="766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S25" t="s">
        <v>588</v>
      </c>
    </row>
    <row r="26" spans="2:19">
      <c r="B26" s="766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</row>
    <row r="27" spans="2:19">
      <c r="B27" s="766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</row>
    <row r="28" spans="2:19">
      <c r="B28" s="766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</row>
    <row r="29" spans="2:19">
      <c r="B29" s="766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</row>
    <row r="30" spans="2:19">
      <c r="B30" s="766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</row>
    <row r="31" spans="2:19">
      <c r="B31" s="766"/>
      <c r="C31" s="273"/>
      <c r="D31" s="273"/>
      <c r="E31" s="273"/>
      <c r="F31" s="273"/>
      <c r="G31" s="273"/>
      <c r="H31" s="273"/>
      <c r="I31" s="273"/>
      <c r="J31" s="273"/>
      <c r="K31" s="273"/>
      <c r="L31" s="273"/>
      <c r="M31" s="273"/>
    </row>
    <row r="32" spans="2:19">
      <c r="B32" s="766"/>
      <c r="C32" s="273"/>
      <c r="D32" s="273"/>
      <c r="E32" s="273"/>
      <c r="F32" s="273"/>
      <c r="G32" s="273"/>
      <c r="H32" s="273"/>
      <c r="I32" s="273"/>
      <c r="J32" s="273"/>
      <c r="K32" s="273"/>
      <c r="L32" s="273"/>
      <c r="M32" s="273"/>
    </row>
    <row r="33" spans="2:15">
      <c r="B33" s="766"/>
      <c r="C33" s="273"/>
      <c r="D33" s="273"/>
      <c r="E33" s="273"/>
      <c r="F33" s="273"/>
      <c r="G33" s="273"/>
      <c r="H33" s="273"/>
      <c r="I33" s="273"/>
      <c r="J33" s="273"/>
      <c r="K33" s="273"/>
      <c r="L33" s="273"/>
      <c r="M33" s="273"/>
    </row>
    <row r="34" spans="2:15">
      <c r="B34" s="766"/>
      <c r="C34" s="273"/>
      <c r="D34" s="273"/>
      <c r="E34" s="273"/>
      <c r="F34" s="273"/>
      <c r="G34" s="273"/>
      <c r="H34" s="273"/>
      <c r="I34" s="273"/>
      <c r="J34" s="273"/>
      <c r="K34" s="273"/>
      <c r="L34" s="273"/>
      <c r="M34" s="273"/>
    </row>
    <row r="35" spans="2:15">
      <c r="B35" s="766"/>
      <c r="C35" s="273"/>
      <c r="D35" s="273"/>
      <c r="E35" s="273"/>
      <c r="F35" s="273"/>
      <c r="G35" s="273"/>
      <c r="H35" s="273"/>
      <c r="I35" s="273"/>
      <c r="J35" s="273"/>
      <c r="K35" s="273"/>
      <c r="L35" s="273"/>
      <c r="M35" s="273"/>
    </row>
    <row r="36" spans="2:15">
      <c r="B36" s="766"/>
      <c r="C36" s="273"/>
      <c r="D36" s="273"/>
      <c r="E36" s="273"/>
      <c r="F36" s="273"/>
      <c r="G36" s="273"/>
      <c r="H36" s="273"/>
      <c r="I36" s="273"/>
      <c r="J36" s="273"/>
      <c r="K36" s="273"/>
      <c r="L36" s="273"/>
      <c r="M36" s="273"/>
    </row>
    <row r="38" spans="2:15">
      <c r="G38" s="690" t="s">
        <v>589</v>
      </c>
      <c r="H38" s="690"/>
      <c r="I38" s="690"/>
      <c r="J38" s="690"/>
      <c r="K38" s="690"/>
      <c r="L38" s="690"/>
      <c r="M38" s="690"/>
      <c r="N38" s="690"/>
      <c r="O38" s="690"/>
    </row>
    <row r="39" spans="2:15">
      <c r="G39" s="690"/>
      <c r="H39" s="690"/>
      <c r="I39" s="690"/>
      <c r="J39" s="690" t="s">
        <v>590</v>
      </c>
      <c r="K39" s="690"/>
      <c r="L39" s="691">
        <f>AVERAGE(E7,C4,C3)</f>
        <v>115.38434976691069</v>
      </c>
      <c r="M39" s="690"/>
      <c r="N39" s="690" t="s">
        <v>591</v>
      </c>
      <c r="O39" s="690"/>
    </row>
    <row r="40" spans="2:15">
      <c r="G40" s="690"/>
      <c r="H40" s="690"/>
      <c r="I40" s="690"/>
      <c r="J40" s="690" t="s">
        <v>528</v>
      </c>
      <c r="K40" s="690"/>
      <c r="L40" s="692">
        <f>C10</f>
        <v>47.03</v>
      </c>
      <c r="M40" s="690"/>
      <c r="N40" s="690"/>
      <c r="O40" s="690"/>
    </row>
    <row r="41" spans="2:15">
      <c r="G41" s="690"/>
      <c r="H41" s="690"/>
      <c r="I41" s="690"/>
      <c r="J41" s="690" t="s">
        <v>592</v>
      </c>
      <c r="K41" s="690"/>
      <c r="L41" s="693">
        <f>L39/L40-1</f>
        <v>1.4534201523901911</v>
      </c>
      <c r="M41" s="690"/>
      <c r="N41" s="690" t="s">
        <v>593</v>
      </c>
      <c r="O41" s="690"/>
    </row>
    <row r="43" spans="2:15">
      <c r="G43" s="21"/>
      <c r="H43" s="21"/>
      <c r="I43" s="21"/>
      <c r="J43" s="21"/>
      <c r="K43" s="21"/>
      <c r="L43" s="21"/>
      <c r="M43" s="21"/>
    </row>
    <row r="44" spans="2:15">
      <c r="H44" s="21"/>
      <c r="I44" s="21"/>
      <c r="J44" s="21"/>
      <c r="K44" s="21"/>
      <c r="L44" s="694"/>
      <c r="M44" s="21"/>
      <c r="N44" s="21"/>
    </row>
    <row r="45" spans="2:15">
      <c r="H45" s="21"/>
      <c r="I45" s="21"/>
      <c r="J45" s="21"/>
      <c r="L45" s="695"/>
      <c r="M45" s="21"/>
    </row>
    <row r="46" spans="2:15">
      <c r="H46" s="21"/>
      <c r="I46" s="21"/>
      <c r="J46" s="21"/>
      <c r="K46" s="21"/>
      <c r="L46" s="696"/>
      <c r="M46" s="21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4:G18"/>
  <sheetViews>
    <sheetView workbookViewId="0">
      <selection activeCell="C5" sqref="C5:C18"/>
    </sheetView>
  </sheetViews>
  <sheetFormatPr defaultRowHeight="15"/>
  <cols>
    <col min="3" max="3" width="23.42578125" customWidth="1"/>
    <col min="4" max="4" width="13.85546875" customWidth="1"/>
    <col min="5" max="5" width="12" customWidth="1"/>
    <col min="6" max="6" width="11.5703125" customWidth="1"/>
    <col min="7" max="7" width="13.85546875" customWidth="1"/>
  </cols>
  <sheetData>
    <row r="4" spans="3:7" ht="15.75" thickBot="1"/>
    <row r="5" spans="3:7" ht="24.75" customHeight="1">
      <c r="C5" s="776" t="s">
        <v>615</v>
      </c>
      <c r="D5" s="777">
        <v>2021</v>
      </c>
      <c r="E5" s="777">
        <v>2022</v>
      </c>
      <c r="F5" s="777">
        <v>2023</v>
      </c>
      <c r="G5" s="778">
        <v>2024</v>
      </c>
    </row>
    <row r="6" spans="3:7">
      <c r="C6" s="768"/>
      <c r="D6" s="273"/>
      <c r="E6" s="273"/>
      <c r="F6" s="769"/>
      <c r="G6" s="770"/>
    </row>
    <row r="7" spans="3:7">
      <c r="C7" s="779" t="s">
        <v>278</v>
      </c>
      <c r="D7" s="771">
        <f>'GM-IS'!D61</f>
        <v>17957</v>
      </c>
      <c r="E7" s="771">
        <f>'GM-IS'!E61</f>
        <v>15300</v>
      </c>
      <c r="F7" s="771">
        <f>'GM-IS'!F61</f>
        <v>14437</v>
      </c>
      <c r="G7" s="780">
        <f>'GM-IS'!G61</f>
        <v>9371</v>
      </c>
    </row>
    <row r="8" spans="3:7">
      <c r="C8" s="779" t="s">
        <v>616</v>
      </c>
      <c r="D8" s="771">
        <f>'GM-IS'!D8</f>
        <v>127004</v>
      </c>
      <c r="E8" s="771">
        <f>'GM-IS'!E8</f>
        <v>156735</v>
      </c>
      <c r="F8" s="771">
        <f>'GM-IS'!F8</f>
        <v>171842</v>
      </c>
      <c r="G8" s="780">
        <f>'GM-IS'!G8</f>
        <v>187442</v>
      </c>
    </row>
    <row r="9" spans="3:7">
      <c r="C9" s="779" t="s">
        <v>39</v>
      </c>
      <c r="D9" s="771">
        <f>'GM-BS'!D24</f>
        <v>244718</v>
      </c>
      <c r="E9" s="771">
        <f>'GM-BS'!E24</f>
        <v>264036</v>
      </c>
      <c r="F9" s="771">
        <f>'GM-BS'!F24</f>
        <v>273065</v>
      </c>
      <c r="G9" s="780">
        <f>'GM-BS'!G24</f>
        <v>279761</v>
      </c>
    </row>
    <row r="10" spans="3:7">
      <c r="C10" s="779" t="s">
        <v>617</v>
      </c>
      <c r="D10" s="771">
        <f>Raw!E144</f>
        <v>59744</v>
      </c>
      <c r="E10" s="771">
        <f>Raw!F144</f>
        <v>67792</v>
      </c>
      <c r="F10" s="771">
        <f>Raw!G144</f>
        <v>64286</v>
      </c>
      <c r="G10" s="780">
        <f>Raw!H144</f>
        <v>63072</v>
      </c>
    </row>
    <row r="11" spans="3:7">
      <c r="C11" s="768"/>
      <c r="D11" s="273"/>
      <c r="E11" s="273"/>
      <c r="F11" s="273"/>
      <c r="G11" s="781"/>
    </row>
    <row r="12" spans="3:7">
      <c r="C12" s="772" t="s">
        <v>618</v>
      </c>
      <c r="D12" s="775">
        <f>D7/D8</f>
        <v>0.14138924758275329</v>
      </c>
      <c r="E12" s="775">
        <f>E7/E8</f>
        <v>9.7616996841803041E-2</v>
      </c>
      <c r="F12" s="775">
        <f>F7/F8</f>
        <v>8.4013221447608852E-2</v>
      </c>
      <c r="G12" s="782">
        <f>G7/G8</f>
        <v>4.9994131518016238E-2</v>
      </c>
    </row>
    <row r="13" spans="3:7">
      <c r="C13" s="768"/>
      <c r="D13" s="273"/>
      <c r="E13" s="273"/>
      <c r="F13" s="273"/>
      <c r="G13" s="781"/>
    </row>
    <row r="14" spans="3:7">
      <c r="C14" s="772" t="s">
        <v>619</v>
      </c>
      <c r="D14" s="774">
        <f>D8/D9</f>
        <v>0.5189810312277805</v>
      </c>
      <c r="E14" s="774">
        <f>E8/E9</f>
        <v>0.5936122346952688</v>
      </c>
      <c r="F14" s="774">
        <f>F8/F9</f>
        <v>0.62930804021020637</v>
      </c>
      <c r="G14" s="783">
        <f>G8/G9</f>
        <v>0.67000761364164407</v>
      </c>
    </row>
    <row r="15" spans="3:7">
      <c r="C15" s="768"/>
      <c r="D15" s="273"/>
      <c r="E15" s="273"/>
      <c r="F15" s="273"/>
      <c r="G15" s="781"/>
    </row>
    <row r="16" spans="3:7">
      <c r="C16" s="772" t="s">
        <v>620</v>
      </c>
      <c r="D16" s="774">
        <f>D9/D10</f>
        <v>4.0961100696304236</v>
      </c>
      <c r="E16" s="774">
        <f>E9/E10</f>
        <v>3.8947958461175358</v>
      </c>
      <c r="F16" s="774">
        <f>F9/F10</f>
        <v>4.2476588992937812</v>
      </c>
      <c r="G16" s="783">
        <f>G9/G10</f>
        <v>4.4355815575849826</v>
      </c>
    </row>
    <row r="17" spans="3:7">
      <c r="C17" s="768"/>
      <c r="D17" s="273"/>
      <c r="E17" s="273"/>
      <c r="F17" s="273"/>
      <c r="G17" s="781"/>
    </row>
    <row r="18" spans="3:7" ht="15.75" thickBot="1">
      <c r="C18" s="773" t="s">
        <v>621</v>
      </c>
      <c r="D18" s="784">
        <f>D7/D10</f>
        <v>0.30056574718800216</v>
      </c>
      <c r="E18" s="784">
        <f>E7/E10</f>
        <v>0.22569034694359216</v>
      </c>
      <c r="F18" s="784">
        <f>F7/F10</f>
        <v>0.22457455744641136</v>
      </c>
      <c r="G18" s="785">
        <f>G7/G10</f>
        <v>0.14857623033992898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"/>
  <sheetViews>
    <sheetView workbookViewId="0">
      <selection activeCell="G15" sqref="G15"/>
    </sheetView>
  </sheetViews>
  <sheetFormatPr defaultRowHeight="15"/>
  <sheetData>
    <row r="1" spans="1:7">
      <c r="C1" s="442">
        <v>2024</v>
      </c>
      <c r="D1" s="442">
        <v>2025</v>
      </c>
      <c r="E1" s="442">
        <v>2026</v>
      </c>
      <c r="F1" s="442">
        <v>2027</v>
      </c>
      <c r="G1" s="442">
        <v>2028</v>
      </c>
    </row>
    <row r="3" spans="1:7">
      <c r="A3" s="1" t="s">
        <v>387</v>
      </c>
      <c r="C3" s="438" t="s">
        <v>388</v>
      </c>
    </row>
    <row r="5" spans="1:7">
      <c r="A5" s="438" t="s">
        <v>389</v>
      </c>
      <c r="C5">
        <f>'GM-BS'!G12</f>
        <v>108545</v>
      </c>
      <c r="D5">
        <f>'GM-BS'!H12</f>
        <v>125509.45993609726</v>
      </c>
      <c r="E5">
        <f>'GM-BS'!I12</f>
        <v>133848.81734304619</v>
      </c>
      <c r="F5">
        <f>'GM-BS'!J12</f>
        <v>147545.83282709186</v>
      </c>
      <c r="G5">
        <f>'GM-BS'!K12</f>
        <v>159675.05797268651</v>
      </c>
    </row>
    <row r="6" spans="1:7">
      <c r="A6" s="438" t="s">
        <v>390</v>
      </c>
      <c r="C6">
        <f>'GM-BS'!G34</f>
        <v>96266</v>
      </c>
      <c r="D6">
        <f>'GM-BS'!H34</f>
        <v>88235.641659454384</v>
      </c>
      <c r="E6">
        <f>'GM-BS'!I34</f>
        <v>89117.092113535502</v>
      </c>
      <c r="F6">
        <f>'GM-BS'!J34</f>
        <v>83606.611861400481</v>
      </c>
      <c r="G6">
        <f>'GM-BS'!K34</f>
        <v>100572.16991621368</v>
      </c>
    </row>
    <row r="8" spans="1:7">
      <c r="A8" s="439" t="s">
        <v>387</v>
      </c>
      <c r="B8" s="440"/>
      <c r="C8" s="441">
        <f>C5/C6</f>
        <v>1.1275528223879667</v>
      </c>
      <c r="D8" s="441">
        <f t="shared" ref="D8:G8" si="0">D5/D6</f>
        <v>1.4224349432455112</v>
      </c>
      <c r="E8" s="441">
        <f t="shared" si="0"/>
        <v>1.501943276745636</v>
      </c>
      <c r="F8" s="441">
        <f t="shared" si="0"/>
        <v>1.7647627327810762</v>
      </c>
      <c r="G8" s="441">
        <f t="shared" si="0"/>
        <v>1.5876664300443277</v>
      </c>
    </row>
    <row r="11" spans="1:7">
      <c r="A11" s="1" t="s">
        <v>391</v>
      </c>
      <c r="C11" s="438" t="s">
        <v>392</v>
      </c>
    </row>
    <row r="13" spans="1:7">
      <c r="A13" s="438" t="s">
        <v>393</v>
      </c>
      <c r="C13">
        <f>'GM-BS'!G10</f>
        <v>14564</v>
      </c>
      <c r="D13" s="57">
        <f>'GM-BS'!H10</f>
        <v>18737.331924677579</v>
      </c>
      <c r="E13" s="57">
        <f>'GM-BS'!I10</f>
        <v>20989.811721141508</v>
      </c>
      <c r="F13" s="57">
        <f>'GM-BS'!J10</f>
        <v>23532.62768274542</v>
      </c>
      <c r="G13" s="57">
        <f>'GM-BS'!K10</f>
        <v>26332.683147830721</v>
      </c>
    </row>
    <row r="15" spans="1:7">
      <c r="A15" s="1" t="s">
        <v>391</v>
      </c>
      <c r="C15" s="56">
        <f>(C5-C13)/C6</f>
        <v>0.97626368603660685</v>
      </c>
      <c r="D15" s="56">
        <f>(D5-D13)/D6</f>
        <v>1.2100793511935564</v>
      </c>
      <c r="E15" s="56">
        <f>(E5-E13)/E6</f>
        <v>1.2664125696350359</v>
      </c>
      <c r="F15" s="56">
        <f>(F5-F13)/F6</f>
        <v>1.4832942321586993</v>
      </c>
      <c r="G15" s="56">
        <f>(G5-G13)/G6</f>
        <v>1.3258377037697691</v>
      </c>
    </row>
    <row r="17" spans="3:3">
      <c r="C17">
        <f>C5-C13</f>
        <v>93981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0">
    <comment s:ref="D6" rgbClr="6F9AA8"/>
    <comment s:ref="H6" rgbClr="6F9AA8"/>
    <comment s:ref="C33" rgbClr="6F9AA8"/>
    <comment s:ref="D33" rgbClr="6F9AA8"/>
    <comment s:ref="E33" rgbClr="6F9AA8"/>
    <comment s:ref="F33" rgbClr="6F9AA8"/>
    <comment s:ref="G33" rgbClr="6F9AA8"/>
    <comment s:ref="C34" rgbClr="6F9AA8"/>
    <comment s:ref="E34" rgbClr="6F9AA8"/>
    <comment s:ref="C35" rgbClr="6F9AA8"/>
    <comment s:ref="E35" rgbClr="6F9AA8"/>
    <comment s:ref="C38" rgbClr="6F9AA8"/>
    <comment s:ref="D38" rgbClr="6F9AA8"/>
    <comment s:ref="E38" rgbClr="6F9AA8"/>
    <comment s:ref="C39" rgbClr="6F9AA8"/>
    <comment s:ref="E39" rgbClr="6F9AA8"/>
    <comment s:ref="C40" rgbClr="6F9AA8"/>
    <comment s:ref="E40" rgbClr="6F9AA8"/>
    <comment s:ref="C43" rgbClr="6F9AA8"/>
    <comment s:ref="D43" rgbClr="6F9AA8"/>
    <comment s:ref="E43" rgbClr="6F9AA8"/>
    <comment s:ref="C44" rgbClr="6F9AA8"/>
    <comment s:ref="E44" rgbClr="6F9AA8"/>
    <comment s:ref="C45" rgbClr="6F9AA8"/>
    <comment s:ref="E45" rgbClr="6F9AA8"/>
    <comment s:ref="C48" rgbClr="6F9AA8"/>
    <comment s:ref="D48" rgbClr="6F9AA8"/>
    <comment s:ref="E48" rgbClr="6F9AA8"/>
    <comment s:ref="C49" rgbClr="6F9AA8"/>
    <comment s:ref="E49" rgbClr="6F9AA8"/>
    <comment s:ref="C50" rgbClr="6F9AA8"/>
    <comment s:ref="E50" rgbClr="6F9AA8"/>
    <comment s:ref="C53" rgbClr="6F9AA8"/>
    <comment s:ref="D53" rgbClr="6F9AA8"/>
    <comment s:ref="E53" rgbClr="6F9AA8"/>
    <comment s:ref="C54" rgbClr="6F9AA8"/>
    <comment s:ref="E54" rgbClr="6F9AA8"/>
    <comment s:ref="C55" rgbClr="6F9AA8"/>
    <comment s:ref="E55" rgbClr="6F9AA8"/>
    <comment s:ref="C58" rgbClr="6F9AA8"/>
    <comment s:ref="D58" rgbClr="6F9AA8"/>
    <comment s:ref="E58" rgbClr="6F9AA8"/>
    <comment s:ref="C59" rgbClr="6F9AA8"/>
    <comment s:ref="E59" rgbClr="6F9AA8"/>
    <comment s:ref="C60" rgbClr="6F9AA8"/>
    <comment s:ref="E60" rgbClr="6F9AA8"/>
    <comment s:ref="C63" rgbClr="6F9AA8"/>
    <comment s:ref="D63" rgbClr="6F9AA8"/>
    <comment s:ref="E63" rgbClr="6F9AA8"/>
    <comment s:ref="C64" rgbClr="6F9AA8"/>
    <comment s:ref="E64" rgbClr="6F9AA8"/>
    <comment s:ref="C65" rgbClr="6F9AA8"/>
    <comment s:ref="E65" rgbClr="6F9AA8"/>
  </commentList>
  <commentList sheetStid="11">
    <comment s:ref="D28" rgbClr="739848"/>
    <comment s:ref="D42" rgbClr="D3C6A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Raw</vt:lpstr>
      <vt:lpstr>Revenue Segments</vt:lpstr>
      <vt:lpstr>GM-IS</vt:lpstr>
      <vt:lpstr>GM-BS</vt:lpstr>
      <vt:lpstr>GM-CFS</vt:lpstr>
      <vt:lpstr>Debt Shedule</vt:lpstr>
      <vt:lpstr>Fixed Asset Shedule</vt:lpstr>
      <vt:lpstr>Beta</vt:lpstr>
      <vt:lpstr>WACC</vt:lpstr>
      <vt:lpstr>DCF</vt:lpstr>
      <vt:lpstr>General Motors</vt:lpstr>
      <vt:lpstr>Ford Motors</vt:lpstr>
      <vt:lpstr>Li Auto</vt:lpstr>
      <vt:lpstr>Output</vt:lpstr>
      <vt:lpstr>Valuation</vt:lpstr>
      <vt:lpstr>Input for football field</vt:lpstr>
      <vt:lpstr>Football Field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Pankajj Goel</dc:creator>
  <cp:lastModifiedBy>john wick</cp:lastModifiedBy>
  <dcterms:created xsi:type="dcterms:W3CDTF">2023-08-10T06:50:00Z</dcterms:created>
  <dcterms:modified xsi:type="dcterms:W3CDTF">2025-08-19T17:49:02Z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351A671F5F5B4EC481D2C123E1FB16ED</vt:lpwstr>
  </property>
  <property fmtid="{D5CDD505-2E9C-101B-9397-08002B2CF9AE}" pid="3" name="KSOProductBuildVer">
    <vt:lpwstr>1033-11.2.0.11225</vt:lpwstr>
  </property>
</Properties>
</file>