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A20B88F-8CED-49EF-866D-0DDFFF17DA02}" xr6:coauthVersionLast="47" xr6:coauthVersionMax="47" xr10:uidLastSave="{00000000-0000-0000-0000-000000000000}"/>
  <bookViews>
    <workbookView minimized="1" xWindow="9195" yWindow="0" windowWidth="11985" windowHeight="10590" activeTab="4" xr2:uid="{C2A8911C-8823-4543-A27D-4C7C0E69841E}"/>
  </bookViews>
  <sheets>
    <sheet name="AS" sheetId="2" r:id="rId1"/>
    <sheet name="IS" sheetId="3" r:id="rId2"/>
    <sheet name="BS" sheetId="4" r:id="rId3"/>
    <sheet name="CF" sheetId="5" r:id="rId4"/>
    <sheet name="Ratio analysi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6" l="1"/>
  <c r="F23" i="6"/>
  <c r="G23" i="6"/>
  <c r="H23" i="6"/>
  <c r="D23" i="6"/>
  <c r="E21" i="6"/>
  <c r="F21" i="6"/>
  <c r="G21" i="6"/>
  <c r="H21" i="6"/>
  <c r="D21" i="6"/>
  <c r="E19" i="6"/>
  <c r="F19" i="6"/>
  <c r="G19" i="6"/>
  <c r="H19" i="6"/>
  <c r="D19" i="6"/>
  <c r="E17" i="6"/>
  <c r="F17" i="6"/>
  <c r="G17" i="6"/>
  <c r="H17" i="6"/>
  <c r="D17" i="6"/>
  <c r="E15" i="6"/>
  <c r="F15" i="6"/>
  <c r="G15" i="6"/>
  <c r="H15" i="6"/>
  <c r="D15" i="6"/>
  <c r="E13" i="6"/>
  <c r="F13" i="6"/>
  <c r="G13" i="6"/>
  <c r="H13" i="6"/>
  <c r="D13" i="6"/>
  <c r="E11" i="6"/>
  <c r="F11" i="6"/>
  <c r="G11" i="6"/>
  <c r="H11" i="6"/>
  <c r="D11" i="6"/>
  <c r="E9" i="6"/>
  <c r="F9" i="6"/>
  <c r="G9" i="6"/>
  <c r="H9" i="6"/>
  <c r="D9" i="6"/>
  <c r="E7" i="6"/>
  <c r="F7" i="6"/>
  <c r="G7" i="6"/>
  <c r="H7" i="6"/>
  <c r="D7" i="6"/>
  <c r="E5" i="6"/>
  <c r="F5" i="6"/>
  <c r="G5" i="6"/>
  <c r="H5" i="6"/>
  <c r="D5" i="6"/>
  <c r="F3" i="6"/>
  <c r="G3" i="6"/>
  <c r="H3" i="6"/>
  <c r="E3" i="6"/>
  <c r="E20" i="4"/>
  <c r="F20" i="4"/>
  <c r="G20" i="4"/>
  <c r="H20" i="4"/>
  <c r="D20" i="4"/>
  <c r="D6" i="4" a="1"/>
  <c r="D6" i="4" s="1"/>
  <c r="E118" i="2"/>
  <c r="E19" i="5"/>
  <c r="F19" i="5"/>
  <c r="G19" i="5"/>
  <c r="H19" i="5"/>
  <c r="D19" i="5"/>
  <c r="D18" i="5" a="1"/>
  <c r="D18" i="5" s="1"/>
  <c r="E17" i="5" a="1"/>
  <c r="E17" i="5" s="1"/>
  <c r="D17" i="5"/>
  <c r="D16" i="5"/>
  <c r="D13" i="5"/>
  <c r="D12" i="5"/>
  <c r="D11" i="5"/>
  <c r="D6" i="5" a="1"/>
  <c r="D6" i="5" s="1"/>
  <c r="D5" i="5" a="1"/>
  <c r="D5" i="5" s="1"/>
  <c r="E15" i="4"/>
  <c r="F15" i="4"/>
  <c r="G15" i="4"/>
  <c r="H15" i="4"/>
  <c r="D15" i="4"/>
  <c r="D13" i="4" a="1"/>
  <c r="D13" i="4" s="1"/>
  <c r="D12" i="4" a="1"/>
  <c r="D12" i="4" s="1"/>
  <c r="B37" i="2"/>
  <c r="E4" i="4"/>
  <c r="F4" i="4"/>
  <c r="G4" i="4"/>
  <c r="H4" i="4"/>
  <c r="D4" i="4"/>
  <c r="E13" i="3"/>
  <c r="F13" i="3"/>
  <c r="G13" i="3"/>
  <c r="H13" i="3"/>
  <c r="D13" i="3"/>
  <c r="E10" i="3"/>
  <c r="F10" i="3"/>
  <c r="G10" i="3"/>
  <c r="H10" i="3"/>
  <c r="D10" i="3"/>
  <c r="D42" i="2"/>
  <c r="D41" i="2"/>
  <c r="D40" i="2"/>
  <c r="D110" i="2"/>
  <c r="E110" i="2" s="1"/>
  <c r="D111" i="2"/>
  <c r="E111" i="2" s="1"/>
  <c r="F111" i="2" s="1"/>
  <c r="G111" i="2" s="1"/>
  <c r="H111" i="2" s="1"/>
  <c r="D112" i="2"/>
  <c r="E112" i="2" s="1"/>
  <c r="F112" i="2" s="1"/>
  <c r="G112" i="2" s="1"/>
  <c r="H112" i="2" s="1"/>
  <c r="B11" i="2"/>
  <c r="D15" i="2" s="1"/>
  <c r="E15" i="2" s="1"/>
  <c r="F15" i="2" s="1"/>
  <c r="G15" i="2" s="1"/>
  <c r="H15" i="2" s="1"/>
  <c r="D65" i="2"/>
  <c r="D66" i="2" s="1"/>
  <c r="E62" i="2" s="1"/>
  <c r="B55" i="2"/>
  <c r="B54" i="2"/>
  <c r="B53" i="2"/>
  <c r="B35" i="2"/>
  <c r="B48" i="2"/>
  <c r="D48" i="2"/>
  <c r="E48" i="2" s="1"/>
  <c r="F48" i="2" s="1"/>
  <c r="G48" i="2" s="1"/>
  <c r="H48" i="2" s="1"/>
  <c r="D47" i="2"/>
  <c r="E47" i="2" s="1"/>
  <c r="F47" i="2" s="1"/>
  <c r="G47" i="2" s="1"/>
  <c r="H47" i="2" s="1"/>
  <c r="D46" i="2"/>
  <c r="E46" i="2" s="1"/>
  <c r="F46" i="2" s="1"/>
  <c r="G46" i="2" s="1"/>
  <c r="H46" i="2" s="1"/>
  <c r="D45" i="2"/>
  <c r="E45" i="2" s="1"/>
  <c r="F45" i="2" s="1"/>
  <c r="G45" i="2" s="1"/>
  <c r="H45" i="2" s="1"/>
  <c r="D44" i="2"/>
  <c r="E44" i="2" s="1"/>
  <c r="F44" i="2" s="1"/>
  <c r="G44" i="2" s="1"/>
  <c r="H44" i="2" s="1"/>
  <c r="D106" i="2" l="1"/>
  <c r="D114" i="2" s="1"/>
  <c r="F110" i="2"/>
  <c r="D89" i="2"/>
  <c r="B82" i="2"/>
  <c r="D82" i="2" s="1"/>
  <c r="B83" i="2"/>
  <c r="D83" i="2" s="1"/>
  <c r="B84" i="2"/>
  <c r="D84" i="2" s="1"/>
  <c r="D53" i="2"/>
  <c r="E53" i="2" s="1"/>
  <c r="E63" i="2" s="1"/>
  <c r="D54" i="2"/>
  <c r="D55" i="2"/>
  <c r="G110" i="2" l="1"/>
  <c r="E84" i="2"/>
  <c r="D99" i="2"/>
  <c r="D100" i="2" s="1"/>
  <c r="E82" i="2"/>
  <c r="D87" i="2"/>
  <c r="D88" i="2" s="1"/>
  <c r="D90" i="2" s="1"/>
  <c r="E86" i="2" s="1"/>
  <c r="E83" i="2"/>
  <c r="D93" i="2"/>
  <c r="D94" i="2" s="1"/>
  <c r="E55" i="2"/>
  <c r="D75" i="2"/>
  <c r="D76" i="2" s="1"/>
  <c r="E54" i="2"/>
  <c r="D69" i="2"/>
  <c r="D70" i="2" s="1"/>
  <c r="F53" i="2"/>
  <c r="F63" i="2" s="1"/>
  <c r="E64" i="2"/>
  <c r="H110" i="2" l="1"/>
  <c r="F84" i="2"/>
  <c r="E99" i="2"/>
  <c r="F83" i="2"/>
  <c r="E93" i="2"/>
  <c r="F82" i="2"/>
  <c r="E87" i="2"/>
  <c r="E88" i="2" s="1"/>
  <c r="D77" i="2"/>
  <c r="D108" i="2" s="1"/>
  <c r="D116" i="2" s="1"/>
  <c r="F55" i="2"/>
  <c r="E75" i="2"/>
  <c r="D71" i="2"/>
  <c r="D107" i="2" s="1"/>
  <c r="D115" i="2" s="1"/>
  <c r="F54" i="2"/>
  <c r="E69" i="2"/>
  <c r="G53" i="2"/>
  <c r="G63" i="2" s="1"/>
  <c r="E65" i="2"/>
  <c r="E106" i="2" s="1"/>
  <c r="E114" i="2" s="1"/>
  <c r="D118" i="2" l="1"/>
  <c r="G82" i="2"/>
  <c r="F87" i="2"/>
  <c r="G84" i="2"/>
  <c r="F99" i="2"/>
  <c r="E66" i="2"/>
  <c r="F62" i="2" s="1"/>
  <c r="F64" i="2" s="1"/>
  <c r="F65" i="2" s="1"/>
  <c r="F106" i="2" s="1"/>
  <c r="F114" i="2" s="1"/>
  <c r="E89" i="2"/>
  <c r="D72" i="2"/>
  <c r="E68" i="2" s="1"/>
  <c r="E70" i="2" s="1"/>
  <c r="E71" i="2" s="1"/>
  <c r="E107" i="2" s="1"/>
  <c r="E115" i="2" s="1"/>
  <c r="D95" i="2"/>
  <c r="G83" i="2"/>
  <c r="F93" i="2"/>
  <c r="D78" i="2"/>
  <c r="E74" i="2" s="1"/>
  <c r="E76" i="2" s="1"/>
  <c r="D101" i="2"/>
  <c r="D102" i="2" s="1"/>
  <c r="E98" i="2" s="1"/>
  <c r="E100" i="2" s="1"/>
  <c r="G55" i="2"/>
  <c r="F75" i="2"/>
  <c r="G54" i="2"/>
  <c r="F69" i="2"/>
  <c r="H53" i="2"/>
  <c r="H63" i="2" s="1"/>
  <c r="D96" i="2" l="1"/>
  <c r="E92" i="2" s="1"/>
  <c r="E94" i="2" s="1"/>
  <c r="E96" i="2" s="1"/>
  <c r="F92" i="2" s="1"/>
  <c r="F94" i="2" s="1"/>
  <c r="D4" i="3"/>
  <c r="E90" i="2"/>
  <c r="F86" i="2" s="1"/>
  <c r="F88" i="2" s="1"/>
  <c r="E72" i="2"/>
  <c r="F68" i="2" s="1"/>
  <c r="F70" i="2" s="1"/>
  <c r="F71" i="2" s="1"/>
  <c r="F107" i="2" s="1"/>
  <c r="F115" i="2" s="1"/>
  <c r="E95" i="2"/>
  <c r="H84" i="2"/>
  <c r="H99" i="2" s="1"/>
  <c r="G99" i="2"/>
  <c r="H83" i="2"/>
  <c r="H93" i="2" s="1"/>
  <c r="G93" i="2"/>
  <c r="H82" i="2"/>
  <c r="H87" i="2" s="1"/>
  <c r="G87" i="2"/>
  <c r="F66" i="2"/>
  <c r="G62" i="2" s="1"/>
  <c r="G64" i="2" s="1"/>
  <c r="G65" i="2" s="1"/>
  <c r="G106" i="2" s="1"/>
  <c r="G114" i="2" s="1"/>
  <c r="F89" i="2"/>
  <c r="E77" i="2"/>
  <c r="E108" i="2" s="1"/>
  <c r="E116" i="2" s="1"/>
  <c r="H55" i="2"/>
  <c r="H75" i="2" s="1"/>
  <c r="G75" i="2"/>
  <c r="H54" i="2"/>
  <c r="H69" i="2" s="1"/>
  <c r="G69" i="2"/>
  <c r="F90" i="2" l="1"/>
  <c r="G86" i="2" s="1"/>
  <c r="G88" i="2" s="1"/>
  <c r="F72" i="2"/>
  <c r="G68" i="2" s="1"/>
  <c r="G70" i="2" s="1"/>
  <c r="G71" i="2" s="1"/>
  <c r="G107" i="2" s="1"/>
  <c r="G115" i="2" s="1"/>
  <c r="F95" i="2"/>
  <c r="E78" i="2"/>
  <c r="F74" i="2" s="1"/>
  <c r="F76" i="2" s="1"/>
  <c r="F77" i="2" s="1"/>
  <c r="F108" i="2" s="1"/>
  <c r="F116" i="2" s="1"/>
  <c r="F118" i="2" s="1"/>
  <c r="E101" i="2"/>
  <c r="E102" i="2" s="1"/>
  <c r="F98" i="2" s="1"/>
  <c r="F100" i="2" s="1"/>
  <c r="G66" i="2"/>
  <c r="H62" i="2" s="1"/>
  <c r="H64" i="2" s="1"/>
  <c r="H65" i="2" s="1"/>
  <c r="H106" i="2" s="1"/>
  <c r="H114" i="2" s="1"/>
  <c r="G89" i="2"/>
  <c r="F96" i="2" l="1"/>
  <c r="G92" i="2" s="1"/>
  <c r="G94" i="2" s="1"/>
  <c r="E4" i="3"/>
  <c r="G90" i="2"/>
  <c r="H86" i="2" s="1"/>
  <c r="H88" i="2" s="1"/>
  <c r="G72" i="2"/>
  <c r="H68" i="2" s="1"/>
  <c r="H70" i="2" s="1"/>
  <c r="H71" i="2" s="1"/>
  <c r="H107" i="2" s="1"/>
  <c r="H115" i="2" s="1"/>
  <c r="G95" i="2"/>
  <c r="H66" i="2"/>
  <c r="H89" i="2"/>
  <c r="F78" i="2"/>
  <c r="G74" i="2" s="1"/>
  <c r="G76" i="2" s="1"/>
  <c r="G77" i="2" s="1"/>
  <c r="F101" i="2"/>
  <c r="F102" i="2" s="1"/>
  <c r="G98" i="2" s="1"/>
  <c r="G100" i="2" s="1"/>
  <c r="G96" i="2" l="1"/>
  <c r="H92" i="2" s="1"/>
  <c r="H94" i="2" s="1"/>
  <c r="F4" i="3"/>
  <c r="G101" i="2"/>
  <c r="G102" i="2" s="1"/>
  <c r="H98" i="2" s="1"/>
  <c r="H100" i="2" s="1"/>
  <c r="G108" i="2"/>
  <c r="G116" i="2" s="1"/>
  <c r="G118" i="2" s="1"/>
  <c r="H90" i="2"/>
  <c r="H72" i="2"/>
  <c r="H95" i="2"/>
  <c r="H96" i="2" s="1"/>
  <c r="G78" i="2"/>
  <c r="H74" i="2" s="1"/>
  <c r="H76" i="2" s="1"/>
  <c r="H77" i="2" s="1"/>
  <c r="H108" i="2" s="1"/>
  <c r="H116" i="2" s="1"/>
  <c r="H118" i="2" s="1"/>
  <c r="D3" i="3" l="1" a="1"/>
  <c r="G4" i="3"/>
  <c r="H78" i="2"/>
  <c r="H101" i="2"/>
  <c r="H102" i="2" s="1"/>
  <c r="F14" i="4" l="1"/>
  <c r="G14" i="4"/>
  <c r="E14" i="4"/>
  <c r="H14" i="4"/>
  <c r="H4" i="3"/>
  <c r="H6" i="3" s="1"/>
  <c r="D3" i="3"/>
  <c r="D14" i="4" s="1"/>
  <c r="F6" i="3"/>
  <c r="G6" i="3"/>
  <c r="E6" i="3"/>
  <c r="D6" i="3" l="1"/>
  <c r="H7" i="5" l="1"/>
  <c r="F7" i="5"/>
  <c r="D7" i="5"/>
  <c r="G7" i="5"/>
  <c r="E7" i="5" l="1"/>
  <c r="D38" i="2" l="1"/>
  <c r="E38" i="2" s="1"/>
  <c r="F38" i="2" s="1"/>
  <c r="G38" i="2" s="1"/>
  <c r="H38" i="2" s="1"/>
  <c r="D37" i="2"/>
  <c r="E37" i="2" s="1"/>
  <c r="E35" i="2"/>
  <c r="F35" i="2"/>
  <c r="G35" i="2"/>
  <c r="H35" i="2"/>
  <c r="D35" i="2"/>
  <c r="D30" i="2"/>
  <c r="D31" i="2" s="1"/>
  <c r="E28" i="2" s="1"/>
  <c r="E30" i="2" s="1"/>
  <c r="D23" i="2"/>
  <c r="D24" i="2" s="1"/>
  <c r="E21" i="2" s="1"/>
  <c r="E16" i="2"/>
  <c r="E17" i="2" s="1"/>
  <c r="F16" i="2"/>
  <c r="F17" i="2" s="1"/>
  <c r="G16" i="2"/>
  <c r="G17" i="2" s="1"/>
  <c r="H16" i="2"/>
  <c r="H17" i="2" s="1"/>
  <c r="D16" i="2"/>
  <c r="D17" i="2" s="1"/>
  <c r="E39" i="2" l="1"/>
  <c r="F37" i="2"/>
  <c r="D39" i="2"/>
  <c r="E23" i="2"/>
  <c r="E24" i="2" s="1"/>
  <c r="F21" i="2" s="1"/>
  <c r="E31" i="2"/>
  <c r="F28" i="2" s="1"/>
  <c r="F30" i="2" s="1"/>
  <c r="D49" i="2" l="1"/>
  <c r="D7" i="4"/>
  <c r="E49" i="2"/>
  <c r="E7" i="4"/>
  <c r="G37" i="2"/>
  <c r="F39" i="2"/>
  <c r="F23" i="2"/>
  <c r="F24" i="2" s="1"/>
  <c r="G21" i="2" s="1"/>
  <c r="F31" i="2"/>
  <c r="G28" i="2" s="1"/>
  <c r="G30" i="2" s="1"/>
  <c r="F49" i="2" l="1"/>
  <c r="F7" i="4"/>
  <c r="H37" i="2"/>
  <c r="H39" i="2" s="1"/>
  <c r="G39" i="2"/>
  <c r="G23" i="2"/>
  <c r="G24" i="2" s="1"/>
  <c r="H21" i="2" s="1"/>
  <c r="G31" i="2"/>
  <c r="H28" i="2" s="1"/>
  <c r="H30" i="2" s="1"/>
  <c r="H49" i="2" l="1"/>
  <c r="H7" i="4"/>
  <c r="G49" i="2"/>
  <c r="D7" i="3" s="1" a="1"/>
  <c r="G7" i="4"/>
  <c r="H23" i="2"/>
  <c r="H24" i="2" s="1"/>
  <c r="H31" i="2"/>
  <c r="D7" i="3" l="1"/>
  <c r="D9" i="3" s="1"/>
  <c r="D12" i="3" s="1"/>
  <c r="D15" i="3" s="1"/>
  <c r="H9" i="3"/>
  <c r="H12" i="3" s="1"/>
  <c r="H15" i="3" s="1"/>
  <c r="E9" i="3"/>
  <c r="E12" i="3" s="1"/>
  <c r="E15" i="3" s="1"/>
  <c r="G9" i="3"/>
  <c r="G12" i="3" s="1"/>
  <c r="G15" i="3" s="1"/>
  <c r="F9" i="3"/>
  <c r="F12" i="3" s="1"/>
  <c r="F15" i="3" s="1"/>
  <c r="G16" i="3" l="1"/>
  <c r="G18" i="3" s="1"/>
  <c r="F16" i="3"/>
  <c r="F18" i="3" s="1"/>
  <c r="E16" i="3"/>
  <c r="E18" i="3" s="1"/>
  <c r="H16" i="3"/>
  <c r="H18" i="3" s="1"/>
  <c r="D16" i="3"/>
  <c r="D18" i="3" s="1"/>
  <c r="D5" i="4" l="1"/>
  <c r="D9" i="4" s="1"/>
  <c r="D4" i="5" a="1"/>
  <c r="E5" i="4" l="1"/>
  <c r="D4" i="5"/>
  <c r="D8" i="5" s="1"/>
  <c r="D21" i="5" s="1"/>
  <c r="D23" i="5" s="1"/>
  <c r="H8" i="5"/>
  <c r="H21" i="5" s="1"/>
  <c r="E8" i="5"/>
  <c r="E21" i="5" s="1"/>
  <c r="F8" i="5"/>
  <c r="F21" i="5" s="1"/>
  <c r="G8" i="5"/>
  <c r="G21" i="5" s="1"/>
  <c r="E22" i="5" l="1"/>
  <c r="E23" i="5" s="1"/>
  <c r="F5" i="4"/>
  <c r="E9" i="4"/>
  <c r="F22" i="5" l="1"/>
  <c r="F23" i="5" s="1"/>
  <c r="G22" i="5" s="1"/>
  <c r="G23" i="5" s="1"/>
  <c r="H22" i="5" s="1"/>
  <c r="H23" i="5" s="1"/>
  <c r="G5" i="4"/>
  <c r="F9" i="4"/>
  <c r="D16" i="4" l="1" a="1"/>
  <c r="H18" i="4" s="1"/>
  <c r="H5" i="4"/>
  <c r="H9" i="4" s="1"/>
  <c r="G9" i="4"/>
  <c r="D16" i="4" l="1"/>
  <c r="D18" i="4" s="1"/>
  <c r="F18" i="4"/>
  <c r="G18" i="4"/>
  <c r="E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<sst xmlns="http://schemas.openxmlformats.org/spreadsheetml/2006/main" count="238" uniqueCount="159">
  <si>
    <t>Units</t>
  </si>
  <si>
    <t>Year 1</t>
  </si>
  <si>
    <t>Year 2</t>
  </si>
  <si>
    <t>Year 3</t>
  </si>
  <si>
    <t>Year 4</t>
  </si>
  <si>
    <t>Year 5</t>
  </si>
  <si>
    <t>Equity</t>
  </si>
  <si>
    <t>Rs.</t>
  </si>
  <si>
    <t>Debt</t>
  </si>
  <si>
    <t>Debt repayment schedule</t>
  </si>
  <si>
    <t>Assumption Sheet (Year ended)</t>
  </si>
  <si>
    <t>Principle paid</t>
  </si>
  <si>
    <t>Principle bal</t>
  </si>
  <si>
    <t>Interest paid</t>
  </si>
  <si>
    <t>Total amount paid</t>
  </si>
  <si>
    <t xml:space="preserve">Interest rate </t>
  </si>
  <si>
    <t xml:space="preserve">Loan amount </t>
  </si>
  <si>
    <t>Equipments</t>
  </si>
  <si>
    <t>Opening bal</t>
  </si>
  <si>
    <t>Purchase</t>
  </si>
  <si>
    <t>Depreciation (wdm)</t>
  </si>
  <si>
    <t>Closing bal</t>
  </si>
  <si>
    <t>Furniture and Fixtures</t>
  </si>
  <si>
    <t>one time payments at Y1</t>
  </si>
  <si>
    <t>Incorporation</t>
  </si>
  <si>
    <t>Other</t>
  </si>
  <si>
    <t>Growth</t>
  </si>
  <si>
    <t>Source of funds at Y1</t>
  </si>
  <si>
    <t>Y1</t>
  </si>
  <si>
    <t>Y2</t>
  </si>
  <si>
    <t>Y3</t>
  </si>
  <si>
    <t>Y4</t>
  </si>
  <si>
    <t>Y5</t>
  </si>
  <si>
    <t>No of ADM personnel</t>
  </si>
  <si>
    <t>Total salaries per year</t>
  </si>
  <si>
    <t>Operating expenses</t>
  </si>
  <si>
    <t>Salaries</t>
  </si>
  <si>
    <t>Insurance/year</t>
  </si>
  <si>
    <t>Legal fees</t>
  </si>
  <si>
    <t>Other one time expenses</t>
  </si>
  <si>
    <t>Housekeeping/year</t>
  </si>
  <si>
    <t>Advertising/year</t>
  </si>
  <si>
    <t>Repairs</t>
  </si>
  <si>
    <t>Utility</t>
  </si>
  <si>
    <t>Transport/year</t>
  </si>
  <si>
    <t>Revenue</t>
  </si>
  <si>
    <t>Revenue from SJ1</t>
  </si>
  <si>
    <t>Total items sold per year SJ1</t>
  </si>
  <si>
    <t>Total items sold per year SJ2</t>
  </si>
  <si>
    <t>Total items sold per year SJ3</t>
  </si>
  <si>
    <t>Selling price per unit SJ1</t>
  </si>
  <si>
    <t>Selling price per unit SJ2</t>
  </si>
  <si>
    <t>Selling price per unit SJ3</t>
  </si>
  <si>
    <t>Revenue from SJ2</t>
  </si>
  <si>
    <t>Revenue from SJ3</t>
  </si>
  <si>
    <t>Total revenue</t>
  </si>
  <si>
    <t>Total items produced/year SJ1</t>
  </si>
  <si>
    <t>Total items produced/year SJ2</t>
  </si>
  <si>
    <t>Total items produced/year SJ3</t>
  </si>
  <si>
    <t>Total cost of production/year SJ1</t>
  </si>
  <si>
    <t>Total cost of production/year SJ2</t>
  </si>
  <si>
    <t>Total cost of production/year SJ3</t>
  </si>
  <si>
    <t>Inventory</t>
  </si>
  <si>
    <t>Sales as % of total Units available</t>
  </si>
  <si>
    <t>SJ1</t>
  </si>
  <si>
    <t>SJ2</t>
  </si>
  <si>
    <t>SJ3</t>
  </si>
  <si>
    <t>Opening Bal of SJ1</t>
  </si>
  <si>
    <t>Sales</t>
  </si>
  <si>
    <t>Total SJ1 produced per year</t>
  </si>
  <si>
    <t>Sales of SJ1</t>
  </si>
  <si>
    <t>Closing bal SJ1</t>
  </si>
  <si>
    <t>Available for sale SJ1</t>
  </si>
  <si>
    <t>Opening Bal of SJ2</t>
  </si>
  <si>
    <t>Total SJ2 produced per year</t>
  </si>
  <si>
    <t>Available for sale SJ2</t>
  </si>
  <si>
    <t>Sales of SJ2</t>
  </si>
  <si>
    <t>Closing bal SJ2</t>
  </si>
  <si>
    <t>Opening Bal of SJ3</t>
  </si>
  <si>
    <t>Total SJ3 produced per year</t>
  </si>
  <si>
    <t>Available for sale SJ3</t>
  </si>
  <si>
    <t>Sales of SJ3</t>
  </si>
  <si>
    <t>Closing bal SJ3</t>
  </si>
  <si>
    <t>Inventory-Units</t>
  </si>
  <si>
    <t>Inventory-INR</t>
  </si>
  <si>
    <t>Less cogs</t>
  </si>
  <si>
    <t>Debtors</t>
  </si>
  <si>
    <t>O/S expenses</t>
  </si>
  <si>
    <t>Days</t>
  </si>
  <si>
    <t>Tax</t>
  </si>
  <si>
    <t>Rate</t>
  </si>
  <si>
    <t xml:space="preserve">Month </t>
  </si>
  <si>
    <t>Legal fee</t>
  </si>
  <si>
    <t>Income Statement for the year ended</t>
  </si>
  <si>
    <t>Gross profit</t>
  </si>
  <si>
    <t>Total</t>
  </si>
  <si>
    <t>Less operating expenses</t>
  </si>
  <si>
    <t>EBITDA</t>
  </si>
  <si>
    <t>Less dep.</t>
  </si>
  <si>
    <t>EBIT</t>
  </si>
  <si>
    <t>Less interest</t>
  </si>
  <si>
    <t>EBT</t>
  </si>
  <si>
    <t>Less tax</t>
  </si>
  <si>
    <t>EAT</t>
  </si>
  <si>
    <t>Balance sheet for the year ended</t>
  </si>
  <si>
    <t>Liabilities</t>
  </si>
  <si>
    <t>Reserves and Surplus</t>
  </si>
  <si>
    <t>O/S expenses (Salaries)</t>
  </si>
  <si>
    <t>Total liabilities</t>
  </si>
  <si>
    <t>Assets</t>
  </si>
  <si>
    <t>Furniture &amp; Fixtures</t>
  </si>
  <si>
    <t>Cash</t>
  </si>
  <si>
    <t>Cash flow statement for the year ended</t>
  </si>
  <si>
    <t>CFO</t>
  </si>
  <si>
    <t>Add depreciation</t>
  </si>
  <si>
    <t>Add intrest</t>
  </si>
  <si>
    <t>Add NWC change</t>
  </si>
  <si>
    <t>Total assets</t>
  </si>
  <si>
    <t>NWC</t>
  </si>
  <si>
    <t>CFI</t>
  </si>
  <si>
    <t>Purchase of equipments</t>
  </si>
  <si>
    <t>Purchase of furniture and fixtures</t>
  </si>
  <si>
    <t>NET CFI</t>
  </si>
  <si>
    <t xml:space="preserve">NET CFO </t>
  </si>
  <si>
    <t>CFF</t>
  </si>
  <si>
    <t>Issue of equity</t>
  </si>
  <si>
    <t>Add Debt Adjustments</t>
  </si>
  <si>
    <t>Less interest paid</t>
  </si>
  <si>
    <t>Cash generated during the period</t>
  </si>
  <si>
    <t>NET CFF</t>
  </si>
  <si>
    <t>ADD opening bal</t>
  </si>
  <si>
    <t>Net closing bal</t>
  </si>
  <si>
    <t xml:space="preserve">  </t>
  </si>
  <si>
    <t>Rent/year</t>
  </si>
  <si>
    <t>ADM salary per year</t>
  </si>
  <si>
    <t>Ratios for the year ended</t>
  </si>
  <si>
    <t>Sales Growth</t>
  </si>
  <si>
    <t>Formula</t>
  </si>
  <si>
    <t>(current year sales-previos year sales)/previous year sales</t>
  </si>
  <si>
    <t>Current Ratio</t>
  </si>
  <si>
    <t>current assets/current liabilities</t>
  </si>
  <si>
    <t>Quick Ratio</t>
  </si>
  <si>
    <t>Quick assets/current liabilities</t>
  </si>
  <si>
    <t>Return on capital employed</t>
  </si>
  <si>
    <t>EBIT/Capital employeed</t>
  </si>
  <si>
    <t>Return on equity</t>
  </si>
  <si>
    <t>Net income/shareholder's equity</t>
  </si>
  <si>
    <t>Return on assets</t>
  </si>
  <si>
    <t>Net profit/total assets</t>
  </si>
  <si>
    <t>COGS/Inventory</t>
  </si>
  <si>
    <t>Inventory Turnover Ratio</t>
  </si>
  <si>
    <t>Debtors Turnover Ratio</t>
  </si>
  <si>
    <t>Sales/Recievables</t>
  </si>
  <si>
    <t>Net Profit Margin</t>
  </si>
  <si>
    <t>EBITDA Margin</t>
  </si>
  <si>
    <t>Operating Profit Margin</t>
  </si>
  <si>
    <t>Net Profit/Sales</t>
  </si>
  <si>
    <t>EBIT/Sales</t>
  </si>
  <si>
    <t>EBITDA/Sales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</si>
</sst>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4" fillId="0" borderId="0" xfId="0" applyNumberFormat="1" applyFont="1"/>
    <xf numFmtId="2" fontId="4" fillId="3" borderId="1" xfId="0" applyNumberFormat="1" applyFont="1" applyFill="1" applyBorder="1"/>
    <xf numFmtId="2" fontId="4" fillId="3" borderId="1" xfId="0" applyNumberFormat="1" applyFont="1" applyFill="1" applyBorder="1" applyAlignment="1">
      <alignment horizontal="center"/>
    </xf>
    <xf numFmtId="2" fontId="4" fillId="3" borderId="1" xfId="1" applyNumberFormat="1" applyFont="1" applyFill="1" applyBorder="1"/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/>
    <xf numFmtId="2" fontId="3" fillId="3" borderId="1" xfId="0" applyNumberFormat="1" applyFont="1" applyFill="1" applyBorder="1" applyAlignment="1">
      <alignment horizontal="left"/>
    </xf>
    <xf numFmtId="2" fontId="4" fillId="0" borderId="1" xfId="0" applyNumberFormat="1" applyFont="1" applyBorder="1" applyAlignment="1">
      <alignment horizontal="right"/>
    </xf>
    <xf numFmtId="2" fontId="5" fillId="3" borderId="1" xfId="0" applyNumberFormat="1" applyFont="1" applyFill="1" applyBorder="1" applyAlignment="1">
      <alignment horizontal="center" vertical="top"/>
    </xf>
    <xf numFmtId="2" fontId="5" fillId="3" borderId="1" xfId="0" applyNumberFormat="1" applyFont="1" applyFill="1" applyBorder="1" applyAlignment="1">
      <alignment horizontal="center"/>
    </xf>
    <xf numFmtId="2" fontId="6" fillId="0" borderId="1" xfId="0" applyNumberFormat="1" applyFont="1" applyBorder="1"/>
    <xf numFmtId="2" fontId="3" fillId="3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/>
    <xf numFmtId="2" fontId="5" fillId="2" borderId="1" xfId="0" applyNumberFormat="1" applyFont="1" applyFill="1" applyBorder="1" applyAlignment="1">
      <alignment horizontal="center" wrapText="1"/>
    </xf>
    <xf numFmtId="2" fontId="5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/>
    <xf numFmtId="2" fontId="5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wrapText="1"/>
    </xf>
    <xf numFmtId="9" fontId="4" fillId="0" borderId="0" xfId="2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2" applyFont="1" applyBorder="1"/>
    <xf numFmtId="164" fontId="0" fillId="0" borderId="1" xfId="0" applyNumberFormat="1" applyBorder="1"/>
    <xf numFmtId="9" fontId="0" fillId="0" borderId="1" xfId="2" applyFont="1" applyBorder="1" applyAlignment="1">
      <alignment horizontal="center" vertical="center"/>
    </xf>
    <xf numFmtId="10" fontId="0" fillId="0" borderId="1" xfId="2" applyNumberFormat="1" applyFont="1" applyBorder="1"/>
    <xf numFmtId="10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vertical="center"/>
    </xf>
    <xf numFmtId="2" fontId="3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7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CEBC-678F-4EB6-B989-5886E3B48C83}">
  <dimension ref="A1:H131"/>
  <sheetViews>
    <sheetView zoomScale="70" zoomScaleNormal="70" workbookViewId="0">
      <selection activeCell="B35" sqref="B35"/>
    </sheetView>
  </sheetViews>
  <sheetFormatPr defaultRowHeight="15.75" x14ac:dyDescent="0.25"/>
  <cols>
    <col min="1" max="1" width="34.28515625" style="3" customWidth="1"/>
    <col min="2" max="2" width="14.85546875" style="3" customWidth="1"/>
    <col min="3" max="3" width="8.85546875" style="3" customWidth="1"/>
    <col min="4" max="8" width="14.5703125" style="3" customWidth="1"/>
    <col min="9" max="16384" width="9.140625" style="3"/>
  </cols>
  <sheetData>
    <row r="1" spans="1:8" x14ac:dyDescent="0.25">
      <c r="A1" s="45" t="s">
        <v>10</v>
      </c>
      <c r="B1" s="39" t="s">
        <v>0</v>
      </c>
      <c r="C1" s="42"/>
      <c r="D1" s="39" t="s">
        <v>1</v>
      </c>
      <c r="E1" s="39" t="s">
        <v>2</v>
      </c>
      <c r="F1" s="39" t="s">
        <v>3</v>
      </c>
      <c r="G1" s="39" t="s">
        <v>4</v>
      </c>
      <c r="H1" s="39" t="s">
        <v>5</v>
      </c>
    </row>
    <row r="2" spans="1:8" x14ac:dyDescent="0.25">
      <c r="A2" s="46"/>
      <c r="B2" s="40"/>
      <c r="C2" s="43"/>
      <c r="D2" s="40"/>
      <c r="E2" s="40"/>
      <c r="F2" s="40"/>
      <c r="G2" s="40"/>
      <c r="H2" s="40"/>
    </row>
    <row r="3" spans="1:8" x14ac:dyDescent="0.25">
      <c r="A3" s="47"/>
      <c r="B3" s="41"/>
      <c r="C3" s="44"/>
      <c r="D3" s="41"/>
      <c r="E3" s="41"/>
      <c r="F3" s="41"/>
      <c r="G3" s="41"/>
      <c r="H3" s="41"/>
    </row>
    <row r="5" spans="1:8" x14ac:dyDescent="0.25">
      <c r="A5" s="35" t="s">
        <v>27</v>
      </c>
      <c r="B5" s="36"/>
      <c r="C5" s="36"/>
      <c r="D5" s="37"/>
      <c r="F5" s="48" t="s">
        <v>23</v>
      </c>
      <c r="G5" s="48"/>
      <c r="H5" s="48"/>
    </row>
    <row r="6" spans="1:8" x14ac:dyDescent="0.25">
      <c r="A6" s="4" t="s">
        <v>6</v>
      </c>
      <c r="B6" s="5" t="s">
        <v>7</v>
      </c>
      <c r="C6" s="5"/>
      <c r="D6" s="6">
        <v>15000000</v>
      </c>
      <c r="F6" s="5" t="s">
        <v>24</v>
      </c>
      <c r="G6" s="49">
        <v>25000</v>
      </c>
      <c r="H6" s="49"/>
    </row>
    <row r="7" spans="1:8" x14ac:dyDescent="0.25">
      <c r="A7" s="4" t="s">
        <v>8</v>
      </c>
      <c r="B7" s="5" t="s">
        <v>7</v>
      </c>
      <c r="C7" s="5"/>
      <c r="D7" s="6">
        <v>2500000</v>
      </c>
      <c r="F7" s="4" t="s">
        <v>25</v>
      </c>
      <c r="G7" s="49">
        <v>20000</v>
      </c>
      <c r="H7" s="49"/>
    </row>
    <row r="8" spans="1:8" x14ac:dyDescent="0.25">
      <c r="F8" s="8" t="s">
        <v>92</v>
      </c>
      <c r="G8" s="49">
        <v>25000</v>
      </c>
      <c r="H8" s="49"/>
    </row>
    <row r="10" spans="1:8" x14ac:dyDescent="0.25">
      <c r="A10" s="38" t="s">
        <v>9</v>
      </c>
      <c r="B10" s="38"/>
      <c r="C10" s="38"/>
      <c r="D10" s="38"/>
      <c r="E10" s="38"/>
      <c r="F10" s="38"/>
      <c r="G10" s="38"/>
      <c r="H10" s="38"/>
    </row>
    <row r="11" spans="1:8" x14ac:dyDescent="0.25">
      <c r="A11" s="9" t="s">
        <v>16</v>
      </c>
      <c r="B11" s="10">
        <f>D7</f>
        <v>2500000</v>
      </c>
      <c r="C11" s="7"/>
      <c r="D11" s="11" t="s">
        <v>28</v>
      </c>
      <c r="E11" s="11" t="s">
        <v>29</v>
      </c>
      <c r="F11" s="11" t="s">
        <v>30</v>
      </c>
      <c r="G11" s="11" t="s">
        <v>31</v>
      </c>
      <c r="H11" s="12" t="s">
        <v>32</v>
      </c>
    </row>
    <row r="12" spans="1:8" x14ac:dyDescent="0.25">
      <c r="A12" s="9" t="s">
        <v>15</v>
      </c>
      <c r="B12" s="10">
        <v>0.12</v>
      </c>
      <c r="C12" s="7"/>
      <c r="D12" s="7"/>
      <c r="E12" s="7"/>
      <c r="F12" s="7"/>
      <c r="G12" s="7"/>
      <c r="H12" s="7"/>
    </row>
    <row r="13" spans="1:8" x14ac:dyDescent="0.25">
      <c r="A13" s="9"/>
      <c r="B13" s="7"/>
      <c r="C13" s="7"/>
      <c r="D13" s="8"/>
      <c r="E13" s="8"/>
      <c r="F13" s="8"/>
      <c r="G13" s="8"/>
      <c r="H13" s="8"/>
    </row>
    <row r="14" spans="1:8" x14ac:dyDescent="0.25">
      <c r="A14" s="9" t="s">
        <v>11</v>
      </c>
      <c r="B14" s="7"/>
      <c r="C14" s="7"/>
      <c r="D14" s="10">
        <v>500000</v>
      </c>
      <c r="E14" s="10">
        <v>500000</v>
      </c>
      <c r="F14" s="10">
        <v>500000</v>
      </c>
      <c r="G14" s="10">
        <v>500000</v>
      </c>
      <c r="H14" s="10">
        <v>500000</v>
      </c>
    </row>
    <row r="15" spans="1:8" x14ac:dyDescent="0.25">
      <c r="A15" s="9" t="s">
        <v>12</v>
      </c>
      <c r="B15" s="7"/>
      <c r="C15" s="7"/>
      <c r="D15" s="10">
        <f>B11</f>
        <v>2500000</v>
      </c>
      <c r="E15" s="10">
        <f>D15-D14</f>
        <v>2000000</v>
      </c>
      <c r="F15" s="10">
        <f>E15-E14</f>
        <v>1500000</v>
      </c>
      <c r="G15" s="10">
        <f>F15-F14</f>
        <v>1000000</v>
      </c>
      <c r="H15" s="10">
        <f>G15-H14</f>
        <v>500000</v>
      </c>
    </row>
    <row r="16" spans="1:8" x14ac:dyDescent="0.25">
      <c r="A16" s="9" t="s">
        <v>13</v>
      </c>
      <c r="B16" s="7"/>
      <c r="C16" s="7"/>
      <c r="D16" s="10">
        <f>$B$12*D15</f>
        <v>300000</v>
      </c>
      <c r="E16" s="10">
        <f>$B$12*E15</f>
        <v>240000</v>
      </c>
      <c r="F16" s="10">
        <f>$B$12*F15</f>
        <v>180000</v>
      </c>
      <c r="G16" s="10">
        <f>$B$12*G15</f>
        <v>120000</v>
      </c>
      <c r="H16" s="10">
        <f>$B$12*H15</f>
        <v>60000</v>
      </c>
    </row>
    <row r="17" spans="1:8" x14ac:dyDescent="0.25">
      <c r="A17" s="9" t="s">
        <v>14</v>
      </c>
      <c r="B17" s="7"/>
      <c r="C17" s="7"/>
      <c r="D17" s="10">
        <f>D14+D16</f>
        <v>800000</v>
      </c>
      <c r="E17" s="10">
        <f>E14+E16</f>
        <v>740000</v>
      </c>
      <c r="F17" s="10">
        <f>F14+F16</f>
        <v>680000</v>
      </c>
      <c r="G17" s="10">
        <f>G14+G16</f>
        <v>620000</v>
      </c>
      <c r="H17" s="10">
        <f>H14+H16</f>
        <v>560000</v>
      </c>
    </row>
    <row r="19" spans="1:8" x14ac:dyDescent="0.25">
      <c r="A19" s="48" t="s">
        <v>17</v>
      </c>
      <c r="B19" s="48"/>
      <c r="C19" s="48"/>
      <c r="D19" s="48"/>
      <c r="E19" s="48"/>
      <c r="F19" s="48"/>
      <c r="G19" s="48"/>
      <c r="H19" s="48"/>
    </row>
    <row r="20" spans="1:8" x14ac:dyDescent="0.25">
      <c r="A20" s="9"/>
      <c r="B20" s="4"/>
      <c r="C20" s="4"/>
      <c r="D20" s="11" t="s">
        <v>28</v>
      </c>
      <c r="E20" s="11" t="s">
        <v>29</v>
      </c>
      <c r="F20" s="11" t="s">
        <v>30</v>
      </c>
      <c r="G20" s="11" t="s">
        <v>31</v>
      </c>
      <c r="H20" s="12" t="s">
        <v>32</v>
      </c>
    </row>
    <row r="21" spans="1:8" x14ac:dyDescent="0.25">
      <c r="A21" s="9" t="s">
        <v>18</v>
      </c>
      <c r="B21" s="4"/>
      <c r="C21" s="4"/>
      <c r="D21" s="4">
        <v>0</v>
      </c>
      <c r="E21" s="4">
        <f>D24</f>
        <v>704000</v>
      </c>
      <c r="F21" s="4">
        <f>E24</f>
        <v>619520</v>
      </c>
      <c r="G21" s="4">
        <f>F24</f>
        <v>545177.59999999998</v>
      </c>
      <c r="H21" s="4">
        <f>G24</f>
        <v>479756.288</v>
      </c>
    </row>
    <row r="22" spans="1:8" x14ac:dyDescent="0.25">
      <c r="A22" s="9" t="s">
        <v>19</v>
      </c>
      <c r="B22" s="4"/>
      <c r="C22" s="4"/>
      <c r="D22" s="4">
        <v>800000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25">
      <c r="A23" s="9" t="s">
        <v>20</v>
      </c>
      <c r="B23" s="4">
        <v>0.12</v>
      </c>
      <c r="C23" s="4"/>
      <c r="D23" s="4">
        <f>$B$23*D22</f>
        <v>96000</v>
      </c>
      <c r="E23" s="4">
        <f>$B$23*E21</f>
        <v>84480</v>
      </c>
      <c r="F23" s="4">
        <f>$B$23*F21</f>
        <v>74342.399999999994</v>
      </c>
      <c r="G23" s="4">
        <f>$B$23*G21</f>
        <v>65421.311999999998</v>
      </c>
      <c r="H23" s="4">
        <f>$B$23*H21</f>
        <v>57570.754560000001</v>
      </c>
    </row>
    <row r="24" spans="1:8" x14ac:dyDescent="0.25">
      <c r="A24" s="9" t="s">
        <v>21</v>
      </c>
      <c r="B24" s="4"/>
      <c r="C24" s="4"/>
      <c r="D24" s="4">
        <f>D22-D23</f>
        <v>704000</v>
      </c>
      <c r="E24" s="4">
        <f>E21-E23</f>
        <v>619520</v>
      </c>
      <c r="F24" s="4">
        <f>F21-F23</f>
        <v>545177.59999999998</v>
      </c>
      <c r="G24" s="4">
        <f>G21-G23</f>
        <v>479756.288</v>
      </c>
      <c r="H24" s="4">
        <f>H21-H23</f>
        <v>422185.53344000003</v>
      </c>
    </row>
    <row r="26" spans="1:8" x14ac:dyDescent="0.25">
      <c r="A26" s="48" t="s">
        <v>22</v>
      </c>
      <c r="B26" s="48"/>
      <c r="C26" s="48"/>
      <c r="D26" s="48"/>
      <c r="E26" s="48"/>
      <c r="F26" s="48"/>
      <c r="G26" s="48"/>
      <c r="H26" s="48"/>
    </row>
    <row r="27" spans="1:8" x14ac:dyDescent="0.25">
      <c r="A27" s="9"/>
      <c r="B27" s="4"/>
      <c r="C27" s="4"/>
      <c r="D27" s="11" t="s">
        <v>28</v>
      </c>
      <c r="E27" s="11" t="s">
        <v>29</v>
      </c>
      <c r="F27" s="11" t="s">
        <v>30</v>
      </c>
      <c r="G27" s="11" t="s">
        <v>31</v>
      </c>
      <c r="H27" s="12" t="s">
        <v>32</v>
      </c>
    </row>
    <row r="28" spans="1:8" x14ac:dyDescent="0.25">
      <c r="A28" s="9" t="s">
        <v>18</v>
      </c>
      <c r="B28" s="4"/>
      <c r="C28" s="4"/>
      <c r="D28" s="4">
        <v>0</v>
      </c>
      <c r="E28" s="4">
        <f>D31</f>
        <v>176000</v>
      </c>
      <c r="F28" s="4">
        <f>E31</f>
        <v>154880</v>
      </c>
      <c r="G28" s="4">
        <f>F31</f>
        <v>136294.39999999999</v>
      </c>
      <c r="H28" s="4">
        <f>G31</f>
        <v>119939.072</v>
      </c>
    </row>
    <row r="29" spans="1:8" x14ac:dyDescent="0.25">
      <c r="A29" s="9" t="s">
        <v>19</v>
      </c>
      <c r="B29" s="4"/>
      <c r="C29" s="4"/>
      <c r="D29" s="4">
        <v>200000</v>
      </c>
      <c r="E29" s="4">
        <v>0</v>
      </c>
      <c r="F29" s="4">
        <v>0</v>
      </c>
      <c r="G29" s="4">
        <v>0</v>
      </c>
      <c r="H29" s="4">
        <v>0</v>
      </c>
    </row>
    <row r="30" spans="1:8" x14ac:dyDescent="0.25">
      <c r="A30" s="9" t="s">
        <v>20</v>
      </c>
      <c r="B30" s="4">
        <v>0.12</v>
      </c>
      <c r="C30" s="4"/>
      <c r="D30" s="4">
        <f>$B$30*D29</f>
        <v>24000</v>
      </c>
      <c r="E30" s="4">
        <f>$B$30*E28</f>
        <v>21120</v>
      </c>
      <c r="F30" s="4">
        <f>$B$30*F28</f>
        <v>18585.599999999999</v>
      </c>
      <c r="G30" s="4">
        <f>$B$30*G28</f>
        <v>16355.328</v>
      </c>
      <c r="H30" s="4">
        <f>$B$30*H28</f>
        <v>14392.68864</v>
      </c>
    </row>
    <row r="31" spans="1:8" x14ac:dyDescent="0.25">
      <c r="A31" s="9" t="s">
        <v>21</v>
      </c>
      <c r="B31" s="4"/>
      <c r="C31" s="4"/>
      <c r="D31" s="4">
        <f>D29-D30</f>
        <v>176000</v>
      </c>
      <c r="E31" s="4">
        <f>E28-E30</f>
        <v>154880</v>
      </c>
      <c r="F31" s="4">
        <f>F28-F30</f>
        <v>136294.39999999999</v>
      </c>
      <c r="G31" s="4">
        <f>G28-G30</f>
        <v>119939.072</v>
      </c>
      <c r="H31" s="4">
        <f>H28-H30</f>
        <v>105546.38336000001</v>
      </c>
    </row>
    <row r="33" spans="1:8" x14ac:dyDescent="0.25">
      <c r="A33" s="48" t="s">
        <v>35</v>
      </c>
      <c r="B33" s="48"/>
      <c r="C33" s="48"/>
      <c r="D33" s="48"/>
      <c r="E33" s="48"/>
      <c r="F33" s="48"/>
      <c r="G33" s="48"/>
      <c r="H33" s="48"/>
    </row>
    <row r="34" spans="1:8" x14ac:dyDescent="0.25">
      <c r="A34" s="8"/>
      <c r="B34" s="8"/>
      <c r="C34" s="8" t="s">
        <v>26</v>
      </c>
      <c r="D34" s="11" t="s">
        <v>28</v>
      </c>
      <c r="E34" s="11" t="s">
        <v>29</v>
      </c>
      <c r="F34" s="11" t="s">
        <v>30</v>
      </c>
      <c r="G34" s="11" t="s">
        <v>31</v>
      </c>
      <c r="H34" s="12" t="s">
        <v>32</v>
      </c>
    </row>
    <row r="35" spans="1:8" x14ac:dyDescent="0.25">
      <c r="A35" s="8" t="s">
        <v>133</v>
      </c>
      <c r="B35" s="8">
        <f>50000*12</f>
        <v>600000</v>
      </c>
      <c r="C35" s="8"/>
      <c r="D35" s="7">
        <f>50000*12</f>
        <v>600000</v>
      </c>
      <c r="E35" s="7">
        <f>50000*12</f>
        <v>600000</v>
      </c>
      <c r="F35" s="7">
        <f>50000*12</f>
        <v>600000</v>
      </c>
      <c r="G35" s="7">
        <f>50000*12</f>
        <v>600000</v>
      </c>
      <c r="H35" s="7">
        <f>50000*12</f>
        <v>600000</v>
      </c>
    </row>
    <row r="36" spans="1:8" x14ac:dyDescent="0.25">
      <c r="A36" s="8" t="s">
        <v>36</v>
      </c>
      <c r="B36" s="8"/>
      <c r="C36" s="8"/>
      <c r="D36" s="8"/>
      <c r="E36" s="8"/>
      <c r="F36" s="8"/>
      <c r="G36" s="8"/>
      <c r="H36" s="8"/>
    </row>
    <row r="37" spans="1:8" x14ac:dyDescent="0.25">
      <c r="A37" s="13" t="s">
        <v>134</v>
      </c>
      <c r="B37" s="8">
        <f>12*30000</f>
        <v>360000</v>
      </c>
      <c r="C37" s="8">
        <v>0.12</v>
      </c>
      <c r="D37" s="8">
        <f>B37</f>
        <v>360000</v>
      </c>
      <c r="E37" s="8">
        <f>D37+D37*$C$37</f>
        <v>403200</v>
      </c>
      <c r="F37" s="8">
        <f>E37+E37*$C$37</f>
        <v>451584</v>
      </c>
      <c r="G37" s="8">
        <f>F37+F37*$C$37</f>
        <v>505774.08000000002</v>
      </c>
      <c r="H37" s="8">
        <f>G37+G37*$C$37</f>
        <v>566466.96960000007</v>
      </c>
    </row>
    <row r="38" spans="1:8" x14ac:dyDescent="0.25">
      <c r="A38" s="13" t="s">
        <v>33</v>
      </c>
      <c r="B38" s="8">
        <v>2</v>
      </c>
      <c r="C38" s="8">
        <v>0.2</v>
      </c>
      <c r="D38" s="8">
        <f>B38</f>
        <v>2</v>
      </c>
      <c r="E38" s="8">
        <f>D38+D38*$C$38</f>
        <v>2.4</v>
      </c>
      <c r="F38" s="8">
        <f>E38+E38*$C$38</f>
        <v>2.88</v>
      </c>
      <c r="G38" s="8">
        <f>F38+F38*$C$38</f>
        <v>3.456</v>
      </c>
      <c r="H38" s="8">
        <f>G38+G38*$C$38</f>
        <v>4.1471999999999998</v>
      </c>
    </row>
    <row r="39" spans="1:8" x14ac:dyDescent="0.25">
      <c r="A39" s="13" t="s">
        <v>34</v>
      </c>
      <c r="B39" s="8"/>
      <c r="C39" s="8"/>
      <c r="D39" s="8">
        <f>D37*D38</f>
        <v>720000</v>
      </c>
      <c r="E39" s="8">
        <f>E37*E38</f>
        <v>967680</v>
      </c>
      <c r="F39" s="8">
        <f>F37*F38</f>
        <v>1300561.9199999999</v>
      </c>
      <c r="G39" s="8">
        <f>G37*G38</f>
        <v>1747955.2204800001</v>
      </c>
      <c r="H39" s="8">
        <f>H37*H38</f>
        <v>2349251.8163251202</v>
      </c>
    </row>
    <row r="40" spans="1:8" x14ac:dyDescent="0.25">
      <c r="A40" s="8" t="s">
        <v>24</v>
      </c>
      <c r="B40" s="8">
        <v>25000</v>
      </c>
      <c r="C40" s="8"/>
      <c r="D40" s="8">
        <f>G6</f>
        <v>25000</v>
      </c>
      <c r="E40" s="8">
        <v>0</v>
      </c>
      <c r="F40" s="8">
        <v>0</v>
      </c>
      <c r="G40" s="8">
        <v>0</v>
      </c>
      <c r="H40" s="8">
        <v>0</v>
      </c>
    </row>
    <row r="41" spans="1:8" x14ac:dyDescent="0.25">
      <c r="A41" s="8" t="s">
        <v>39</v>
      </c>
      <c r="B41" s="8">
        <v>20000</v>
      </c>
      <c r="C41" s="8"/>
      <c r="D41" s="8">
        <f>G7</f>
        <v>20000</v>
      </c>
      <c r="E41" s="8">
        <v>0</v>
      </c>
      <c r="F41" s="8">
        <v>0</v>
      </c>
      <c r="G41" s="8">
        <v>0</v>
      </c>
      <c r="H41" s="8">
        <v>0</v>
      </c>
    </row>
    <row r="42" spans="1:8" x14ac:dyDescent="0.25">
      <c r="A42" s="8" t="s">
        <v>38</v>
      </c>
      <c r="B42" s="8">
        <v>25000</v>
      </c>
      <c r="C42" s="8"/>
      <c r="D42" s="8">
        <f>G8</f>
        <v>25000</v>
      </c>
      <c r="E42" s="8">
        <v>0</v>
      </c>
      <c r="F42" s="8">
        <v>0</v>
      </c>
      <c r="G42" s="8">
        <v>0</v>
      </c>
      <c r="H42" s="8">
        <v>0</v>
      </c>
    </row>
    <row r="43" spans="1:8" x14ac:dyDescent="0.25">
      <c r="A43" s="8" t="s">
        <v>37</v>
      </c>
      <c r="B43" s="8">
        <v>10000</v>
      </c>
      <c r="C43" s="8"/>
      <c r="D43" s="8">
        <v>10000</v>
      </c>
      <c r="E43" s="8">
        <v>10000</v>
      </c>
      <c r="F43" s="8">
        <v>10000</v>
      </c>
      <c r="G43" s="8">
        <v>10000</v>
      </c>
      <c r="H43" s="8">
        <v>10000</v>
      </c>
    </row>
    <row r="44" spans="1:8" x14ac:dyDescent="0.25">
      <c r="A44" s="8" t="s">
        <v>40</v>
      </c>
      <c r="B44" s="8">
        <v>20000</v>
      </c>
      <c r="C44" s="8">
        <v>0.05</v>
      </c>
      <c r="D44" s="8">
        <f>B44</f>
        <v>20000</v>
      </c>
      <c r="E44" s="8">
        <f>D44+D44*$C$44</f>
        <v>21000</v>
      </c>
      <c r="F44" s="8">
        <f>E44+E44*$C$44</f>
        <v>22050</v>
      </c>
      <c r="G44" s="8">
        <f>F44+F44*$C$44</f>
        <v>23152.5</v>
      </c>
      <c r="H44" s="8">
        <f>G44+G44*$C$44</f>
        <v>24310.125</v>
      </c>
    </row>
    <row r="45" spans="1:8" x14ac:dyDescent="0.25">
      <c r="A45" s="8" t="s">
        <v>41</v>
      </c>
      <c r="B45" s="8">
        <v>30000</v>
      </c>
      <c r="C45" s="8">
        <v>0.1</v>
      </c>
      <c r="D45" s="8">
        <f>B45</f>
        <v>30000</v>
      </c>
      <c r="E45" s="8">
        <f>D45+D45*$C$45</f>
        <v>33000</v>
      </c>
      <c r="F45" s="8">
        <f t="shared" ref="F45:H45" si="0">E45+E45*$C$45</f>
        <v>36300</v>
      </c>
      <c r="G45" s="8">
        <f t="shared" si="0"/>
        <v>39930</v>
      </c>
      <c r="H45" s="8">
        <f t="shared" si="0"/>
        <v>43923</v>
      </c>
    </row>
    <row r="46" spans="1:8" x14ac:dyDescent="0.25">
      <c r="A46" s="8" t="s">
        <v>42</v>
      </c>
      <c r="B46" s="8">
        <v>40000</v>
      </c>
      <c r="C46" s="8">
        <v>0.12</v>
      </c>
      <c r="D46" s="8">
        <f>B46</f>
        <v>40000</v>
      </c>
      <c r="E46" s="8">
        <f>D46+D46*$C$46</f>
        <v>44800</v>
      </c>
      <c r="F46" s="8">
        <f t="shared" ref="F46:H46" si="1">E46+E46*$C$46</f>
        <v>50176</v>
      </c>
      <c r="G46" s="8">
        <f t="shared" si="1"/>
        <v>56197.120000000003</v>
      </c>
      <c r="H46" s="8">
        <f t="shared" si="1"/>
        <v>62940.774400000002</v>
      </c>
    </row>
    <row r="47" spans="1:8" x14ac:dyDescent="0.25">
      <c r="A47" s="8" t="s">
        <v>43</v>
      </c>
      <c r="B47" s="8">
        <v>25000</v>
      </c>
      <c r="C47" s="8">
        <v>0.1</v>
      </c>
      <c r="D47" s="8">
        <f>B47</f>
        <v>25000</v>
      </c>
      <c r="E47" s="8">
        <f>D47+D47*$C$47</f>
        <v>27500</v>
      </c>
      <c r="F47" s="8">
        <f t="shared" ref="F47:H47" si="2">E47+E47*$C$47</f>
        <v>30250</v>
      </c>
      <c r="G47" s="8">
        <f t="shared" si="2"/>
        <v>33275</v>
      </c>
      <c r="H47" s="8">
        <f t="shared" si="2"/>
        <v>36602.5</v>
      </c>
    </row>
    <row r="48" spans="1:8" x14ac:dyDescent="0.25">
      <c r="A48" s="8" t="s">
        <v>44</v>
      </c>
      <c r="B48" s="8">
        <f>18000*12</f>
        <v>216000</v>
      </c>
      <c r="C48" s="8">
        <v>0.15</v>
      </c>
      <c r="D48" s="8">
        <f>18000*12</f>
        <v>216000</v>
      </c>
      <c r="E48" s="8">
        <f>D48+D48*$C$48</f>
        <v>248400</v>
      </c>
      <c r="F48" s="8">
        <f>E48+E48*$C$48</f>
        <v>285660</v>
      </c>
      <c r="G48" s="8">
        <f t="shared" ref="G48:H48" si="3">F48+F48*$C$48</f>
        <v>328509</v>
      </c>
      <c r="H48" s="8">
        <f t="shared" si="3"/>
        <v>377785.35</v>
      </c>
    </row>
    <row r="49" spans="1:8" x14ac:dyDescent="0.25">
      <c r="A49" s="8" t="s">
        <v>95</v>
      </c>
      <c r="B49" s="8"/>
      <c r="C49" s="8"/>
      <c r="D49" s="8">
        <f>SUM(D35,D39,D40,D41,D42,D43,D44,D45,D46,D47,D48)</f>
        <v>1731000</v>
      </c>
      <c r="E49" s="8">
        <f t="shared" ref="E49:H49" si="4">SUM(E35,E39,E40,E41,E42,E43,E44,E45,E46,E47,E48)</f>
        <v>1952380</v>
      </c>
      <c r="F49" s="8">
        <f t="shared" si="4"/>
        <v>2334997.92</v>
      </c>
      <c r="G49" s="8">
        <f t="shared" si="4"/>
        <v>2839018.8404800002</v>
      </c>
      <c r="H49" s="8">
        <f t="shared" si="4"/>
        <v>3504813.5657251203</v>
      </c>
    </row>
    <row r="51" spans="1:8" x14ac:dyDescent="0.25">
      <c r="A51" s="48" t="s">
        <v>83</v>
      </c>
      <c r="B51" s="48"/>
      <c r="C51" s="48"/>
      <c r="D51" s="48"/>
      <c r="E51" s="48"/>
      <c r="F51" s="48"/>
      <c r="G51" s="48"/>
      <c r="H51" s="48"/>
    </row>
    <row r="52" spans="1:8" x14ac:dyDescent="0.25">
      <c r="A52" s="8"/>
      <c r="B52" s="8"/>
      <c r="C52" s="8" t="s">
        <v>26</v>
      </c>
      <c r="D52" s="11" t="s">
        <v>28</v>
      </c>
      <c r="E52" s="11" t="s">
        <v>29</v>
      </c>
      <c r="F52" s="11" t="s">
        <v>30</v>
      </c>
      <c r="G52" s="11" t="s">
        <v>31</v>
      </c>
      <c r="H52" s="12" t="s">
        <v>32</v>
      </c>
    </row>
    <row r="53" spans="1:8" x14ac:dyDescent="0.25">
      <c r="A53" s="8" t="s">
        <v>56</v>
      </c>
      <c r="B53" s="8">
        <f>375*12</f>
        <v>4500</v>
      </c>
      <c r="C53" s="8">
        <v>0.05</v>
      </c>
      <c r="D53" s="8">
        <f>B53</f>
        <v>4500</v>
      </c>
      <c r="E53" s="8">
        <f>D53+D53*$C$53</f>
        <v>4725</v>
      </c>
      <c r="F53" s="8">
        <f>E53+E53*$C$53</f>
        <v>4961.25</v>
      </c>
      <c r="G53" s="8">
        <f>F53+F53*$C$53</f>
        <v>5209.3125</v>
      </c>
      <c r="H53" s="8">
        <f>G53+G53*$C$53</f>
        <v>5469.7781249999998</v>
      </c>
    </row>
    <row r="54" spans="1:8" x14ac:dyDescent="0.25">
      <c r="A54" s="8" t="s">
        <v>57</v>
      </c>
      <c r="B54" s="8">
        <f>250*12</f>
        <v>3000</v>
      </c>
      <c r="C54" s="8">
        <v>0.06</v>
      </c>
      <c r="D54" s="8">
        <f>B54</f>
        <v>3000</v>
      </c>
      <c r="E54" s="8">
        <f>D54+D54*$C$54</f>
        <v>3180</v>
      </c>
      <c r="F54" s="8">
        <f t="shared" ref="F54:H54" si="5">E54+E54*$C$54</f>
        <v>3370.8</v>
      </c>
      <c r="G54" s="8">
        <f t="shared" si="5"/>
        <v>3573.0480000000002</v>
      </c>
      <c r="H54" s="8">
        <f t="shared" si="5"/>
        <v>3787.4308800000003</v>
      </c>
    </row>
    <row r="55" spans="1:8" x14ac:dyDescent="0.25">
      <c r="A55" s="8" t="s">
        <v>58</v>
      </c>
      <c r="B55" s="8">
        <f>250*12</f>
        <v>3000</v>
      </c>
      <c r="C55" s="8">
        <v>0.06</v>
      </c>
      <c r="D55" s="8">
        <f>B55</f>
        <v>3000</v>
      </c>
      <c r="E55" s="8">
        <f>D55+D55*$C$55</f>
        <v>3180</v>
      </c>
      <c r="F55" s="8">
        <f t="shared" ref="F55:H55" si="6">E55+E55*$C$55</f>
        <v>3370.8</v>
      </c>
      <c r="G55" s="8">
        <f t="shared" si="6"/>
        <v>3573.0480000000002</v>
      </c>
      <c r="H55" s="8">
        <f t="shared" si="6"/>
        <v>3787.4308800000003</v>
      </c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 t="s">
        <v>63</v>
      </c>
      <c r="B57" s="8"/>
      <c r="C57" s="8"/>
      <c r="D57" s="8"/>
      <c r="E57" s="8"/>
      <c r="F57" s="8"/>
      <c r="G57" s="8"/>
      <c r="H57" s="8"/>
    </row>
    <row r="58" spans="1:8" x14ac:dyDescent="0.25">
      <c r="A58" s="8" t="s">
        <v>64</v>
      </c>
      <c r="B58" s="8"/>
      <c r="C58" s="8"/>
      <c r="D58" s="8">
        <v>0.7</v>
      </c>
      <c r="E58" s="8">
        <v>0.72</v>
      </c>
      <c r="F58" s="8">
        <v>0.75</v>
      </c>
      <c r="G58" s="8">
        <v>0.8</v>
      </c>
      <c r="H58" s="8">
        <v>0.85</v>
      </c>
    </row>
    <row r="59" spans="1:8" x14ac:dyDescent="0.25">
      <c r="A59" s="8" t="s">
        <v>65</v>
      </c>
      <c r="B59" s="8"/>
      <c r="C59" s="8"/>
      <c r="D59" s="8">
        <v>0.75</v>
      </c>
      <c r="E59" s="8">
        <v>0.78</v>
      </c>
      <c r="F59" s="8">
        <v>0.8</v>
      </c>
      <c r="G59" s="8">
        <v>0.85</v>
      </c>
      <c r="H59" s="8">
        <v>0.85</v>
      </c>
    </row>
    <row r="60" spans="1:8" x14ac:dyDescent="0.25">
      <c r="A60" s="8" t="s">
        <v>66</v>
      </c>
      <c r="B60" s="8"/>
      <c r="C60" s="8"/>
      <c r="D60" s="8">
        <v>0.75</v>
      </c>
      <c r="E60" s="8">
        <v>0.75</v>
      </c>
      <c r="F60" s="8">
        <v>0.78</v>
      </c>
      <c r="G60" s="8">
        <v>0.83</v>
      </c>
      <c r="H60" s="8">
        <v>0.85</v>
      </c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 t="s">
        <v>67</v>
      </c>
      <c r="B62" s="8"/>
      <c r="C62" s="8"/>
      <c r="D62" s="8">
        <v>0</v>
      </c>
      <c r="E62" s="8">
        <f>D66</f>
        <v>1350</v>
      </c>
      <c r="F62" s="8">
        <f>E66</f>
        <v>1701</v>
      </c>
      <c r="G62" s="8">
        <f>F66</f>
        <v>1665.5625</v>
      </c>
      <c r="H62" s="8">
        <f>G66</f>
        <v>1374.9749999999995</v>
      </c>
    </row>
    <row r="63" spans="1:8" x14ac:dyDescent="0.25">
      <c r="A63" s="8" t="s">
        <v>69</v>
      </c>
      <c r="B63" s="8"/>
      <c r="C63" s="8"/>
      <c r="D63" s="8">
        <v>4500</v>
      </c>
      <c r="E63" s="8">
        <f>E53</f>
        <v>4725</v>
      </c>
      <c r="F63" s="8">
        <f>F53</f>
        <v>4961.25</v>
      </c>
      <c r="G63" s="8">
        <f>G53</f>
        <v>5209.3125</v>
      </c>
      <c r="H63" s="8">
        <f>H53</f>
        <v>5469.7781249999998</v>
      </c>
    </row>
    <row r="64" spans="1:8" x14ac:dyDescent="0.25">
      <c r="A64" s="8" t="s">
        <v>72</v>
      </c>
      <c r="B64" s="8"/>
      <c r="C64" s="8"/>
      <c r="D64" s="8">
        <v>4500</v>
      </c>
      <c r="E64" s="8">
        <f>E63+E62</f>
        <v>6075</v>
      </c>
      <c r="F64" s="8">
        <f>F62+F63</f>
        <v>6662.25</v>
      </c>
      <c r="G64" s="8">
        <f>G62+G63</f>
        <v>6874.875</v>
      </c>
      <c r="H64" s="8">
        <f>H62+H63</f>
        <v>6844.7531249999993</v>
      </c>
    </row>
    <row r="65" spans="1:8" x14ac:dyDescent="0.25">
      <c r="A65" s="8" t="s">
        <v>70</v>
      </c>
      <c r="B65" s="8"/>
      <c r="C65" s="8"/>
      <c r="D65" s="8">
        <f>D63*D58</f>
        <v>3150</v>
      </c>
      <c r="E65" s="8">
        <f>E58*E64</f>
        <v>4374</v>
      </c>
      <c r="F65" s="8">
        <f>F58*F64</f>
        <v>4996.6875</v>
      </c>
      <c r="G65" s="8">
        <f>G58*G64</f>
        <v>5499.9000000000005</v>
      </c>
      <c r="H65" s="8">
        <f>H58*H64</f>
        <v>5818.0401562499992</v>
      </c>
    </row>
    <row r="66" spans="1:8" x14ac:dyDescent="0.25">
      <c r="A66" s="8" t="s">
        <v>71</v>
      </c>
      <c r="B66" s="8"/>
      <c r="C66" s="8"/>
      <c r="D66" s="8">
        <f>D63-D65</f>
        <v>1350</v>
      </c>
      <c r="E66" s="8">
        <f>E64-E65</f>
        <v>1701</v>
      </c>
      <c r="F66" s="8">
        <f>F64-F65</f>
        <v>1665.5625</v>
      </c>
      <c r="G66" s="8">
        <f>G64-G65</f>
        <v>1374.9749999999995</v>
      </c>
      <c r="H66" s="8">
        <f>H64-H65</f>
        <v>1026.7129687500001</v>
      </c>
    </row>
    <row r="67" spans="1:8" x14ac:dyDescent="0.25">
      <c r="A67" s="8"/>
      <c r="B67" s="8"/>
      <c r="C67" s="8"/>
      <c r="D67" s="8"/>
      <c r="E67" s="8"/>
      <c r="F67" s="8"/>
      <c r="G67" s="8"/>
      <c r="H67" s="8"/>
    </row>
    <row r="68" spans="1:8" x14ac:dyDescent="0.25">
      <c r="A68" s="8" t="s">
        <v>73</v>
      </c>
      <c r="B68" s="8"/>
      <c r="C68" s="8"/>
      <c r="D68" s="8">
        <v>0</v>
      </c>
      <c r="E68" s="8">
        <f>D72</f>
        <v>750</v>
      </c>
      <c r="F68" s="8">
        <f>E72</f>
        <v>864.59999999999991</v>
      </c>
      <c r="G68" s="8">
        <f>F72</f>
        <v>847.07999999999993</v>
      </c>
      <c r="H68" s="8">
        <f>G72</f>
        <v>663.01920000000018</v>
      </c>
    </row>
    <row r="69" spans="1:8" x14ac:dyDescent="0.25">
      <c r="A69" s="8" t="s">
        <v>74</v>
      </c>
      <c r="B69" s="8"/>
      <c r="C69" s="8"/>
      <c r="D69" s="8">
        <f>D54</f>
        <v>3000</v>
      </c>
      <c r="E69" s="8">
        <f>E54</f>
        <v>3180</v>
      </c>
      <c r="F69" s="8">
        <f>F54</f>
        <v>3370.8</v>
      </c>
      <c r="G69" s="8">
        <f>G54</f>
        <v>3573.0480000000002</v>
      </c>
      <c r="H69" s="8">
        <f>H54</f>
        <v>3787.4308800000003</v>
      </c>
    </row>
    <row r="70" spans="1:8" x14ac:dyDescent="0.25">
      <c r="A70" s="8" t="s">
        <v>75</v>
      </c>
      <c r="B70" s="8"/>
      <c r="C70" s="8"/>
      <c r="D70" s="8">
        <f>D69</f>
        <v>3000</v>
      </c>
      <c r="E70" s="8">
        <f>E68+E69</f>
        <v>3930</v>
      </c>
      <c r="F70" s="8">
        <f>F68+F69</f>
        <v>4235.3999999999996</v>
      </c>
      <c r="G70" s="8">
        <f>G68+G69</f>
        <v>4420.1280000000006</v>
      </c>
      <c r="H70" s="8">
        <f>H68+H69</f>
        <v>4450.4500800000005</v>
      </c>
    </row>
    <row r="71" spans="1:8" x14ac:dyDescent="0.25">
      <c r="A71" s="8" t="s">
        <v>76</v>
      </c>
      <c r="B71" s="8"/>
      <c r="C71" s="8"/>
      <c r="D71" s="8">
        <f>D59*D70</f>
        <v>2250</v>
      </c>
      <c r="E71" s="8">
        <f>E59*E70</f>
        <v>3065.4</v>
      </c>
      <c r="F71" s="8">
        <f>F59*F70</f>
        <v>3388.3199999999997</v>
      </c>
      <c r="G71" s="8">
        <f>G59*G70</f>
        <v>3757.1088000000004</v>
      </c>
      <c r="H71" s="8">
        <f>H59*H70</f>
        <v>3782.8825680000004</v>
      </c>
    </row>
    <row r="72" spans="1:8" x14ac:dyDescent="0.25">
      <c r="A72" s="8" t="s">
        <v>77</v>
      </c>
      <c r="B72" s="8"/>
      <c r="C72" s="8"/>
      <c r="D72" s="8">
        <f>D70-D71</f>
        <v>750</v>
      </c>
      <c r="E72" s="8">
        <f>E70-E71</f>
        <v>864.59999999999991</v>
      </c>
      <c r="F72" s="8">
        <f>F70-F71</f>
        <v>847.07999999999993</v>
      </c>
      <c r="G72" s="8">
        <f>G70-G71</f>
        <v>663.01920000000018</v>
      </c>
      <c r="H72" s="8">
        <f>H70-H71</f>
        <v>667.56751200000008</v>
      </c>
    </row>
    <row r="73" spans="1:8" x14ac:dyDescent="0.25">
      <c r="A73" s="8"/>
      <c r="B73" s="8"/>
      <c r="C73" s="8"/>
      <c r="D73" s="8"/>
      <c r="E73" s="8"/>
      <c r="F73" s="8"/>
      <c r="G73" s="8"/>
      <c r="H73" s="8"/>
    </row>
    <row r="74" spans="1:8" x14ac:dyDescent="0.25">
      <c r="A74" s="8" t="s">
        <v>78</v>
      </c>
      <c r="B74" s="8"/>
      <c r="C74" s="8"/>
      <c r="D74" s="8">
        <v>0</v>
      </c>
      <c r="E74" s="8">
        <f>D78</f>
        <v>750</v>
      </c>
      <c r="F74" s="8">
        <f>E78</f>
        <v>982.5</v>
      </c>
      <c r="G74" s="8">
        <f>F78</f>
        <v>957.72600000000011</v>
      </c>
      <c r="H74" s="8">
        <f>G78</f>
        <v>770.23158000000012</v>
      </c>
    </row>
    <row r="75" spans="1:8" x14ac:dyDescent="0.25">
      <c r="A75" s="8" t="s">
        <v>79</v>
      </c>
      <c r="B75" s="8"/>
      <c r="C75" s="8"/>
      <c r="D75" s="8">
        <f>D55</f>
        <v>3000</v>
      </c>
      <c r="E75" s="8">
        <f>E55</f>
        <v>3180</v>
      </c>
      <c r="F75" s="8">
        <f>F55</f>
        <v>3370.8</v>
      </c>
      <c r="G75" s="8">
        <f>G55</f>
        <v>3573.0480000000002</v>
      </c>
      <c r="H75" s="8">
        <f>H55</f>
        <v>3787.4308800000003</v>
      </c>
    </row>
    <row r="76" spans="1:8" x14ac:dyDescent="0.25">
      <c r="A76" s="8" t="s">
        <v>80</v>
      </c>
      <c r="B76" s="8"/>
      <c r="C76" s="8"/>
      <c r="D76" s="8">
        <f>D74+D75</f>
        <v>3000</v>
      </c>
      <c r="E76" s="8">
        <f>E74+E75</f>
        <v>3930</v>
      </c>
      <c r="F76" s="8">
        <f>F74+F75</f>
        <v>4353.3</v>
      </c>
      <c r="G76" s="8">
        <f>G74+G75</f>
        <v>4530.7740000000003</v>
      </c>
      <c r="H76" s="8">
        <f>H74+H75</f>
        <v>4557.6624600000005</v>
      </c>
    </row>
    <row r="77" spans="1:8" x14ac:dyDescent="0.25">
      <c r="A77" s="8" t="s">
        <v>81</v>
      </c>
      <c r="B77" s="8"/>
      <c r="C77" s="8"/>
      <c r="D77" s="8">
        <f>D60*D76</f>
        <v>2250</v>
      </c>
      <c r="E77" s="8">
        <f>E60*E76</f>
        <v>2947.5</v>
      </c>
      <c r="F77" s="8">
        <f>F60*F76</f>
        <v>3395.5740000000001</v>
      </c>
      <c r="G77" s="8">
        <f>G60*G76</f>
        <v>3760.5424200000002</v>
      </c>
      <c r="H77" s="8">
        <f>H60*H76</f>
        <v>3874.0130910000003</v>
      </c>
    </row>
    <row r="78" spans="1:8" x14ac:dyDescent="0.25">
      <c r="A78" s="8" t="s">
        <v>82</v>
      </c>
      <c r="B78" s="8"/>
      <c r="C78" s="8"/>
      <c r="D78" s="8">
        <f>D76-D77</f>
        <v>750</v>
      </c>
      <c r="E78" s="8">
        <f>E76-E77</f>
        <v>982.5</v>
      </c>
      <c r="F78" s="8">
        <f>F76-F77</f>
        <v>957.72600000000011</v>
      </c>
      <c r="G78" s="8">
        <f>G76-G77</f>
        <v>770.23158000000012</v>
      </c>
      <c r="H78" s="8">
        <f>H76-H77</f>
        <v>683.64936900000021</v>
      </c>
    </row>
    <row r="80" spans="1:8" x14ac:dyDescent="0.25">
      <c r="A80" s="48" t="s">
        <v>84</v>
      </c>
      <c r="B80" s="48"/>
      <c r="C80" s="48"/>
      <c r="D80" s="48"/>
      <c r="E80" s="48"/>
      <c r="F80" s="48"/>
      <c r="G80" s="48"/>
      <c r="H80" s="48"/>
    </row>
    <row r="81" spans="1:8" x14ac:dyDescent="0.25">
      <c r="A81" s="14"/>
      <c r="B81" s="14"/>
      <c r="C81" s="8" t="s">
        <v>26</v>
      </c>
      <c r="D81" s="11" t="s">
        <v>28</v>
      </c>
      <c r="E81" s="11" t="s">
        <v>29</v>
      </c>
      <c r="F81" s="11" t="s">
        <v>30</v>
      </c>
      <c r="G81" s="11" t="s">
        <v>31</v>
      </c>
      <c r="H81" s="12" t="s">
        <v>32</v>
      </c>
    </row>
    <row r="82" spans="1:8" x14ac:dyDescent="0.25">
      <c r="A82" s="8" t="s">
        <v>59</v>
      </c>
      <c r="B82" s="8">
        <f>1200*B53</f>
        <v>5400000</v>
      </c>
      <c r="C82" s="8">
        <v>0.05</v>
      </c>
      <c r="D82" s="8">
        <f>B82</f>
        <v>5400000</v>
      </c>
      <c r="E82" s="8">
        <f>D82+D82*$C$82</f>
        <v>5670000</v>
      </c>
      <c r="F82" s="8">
        <f>E82+E82*$C$82</f>
        <v>5953500</v>
      </c>
      <c r="G82" s="8">
        <f>F82+F82*$C$82</f>
        <v>6251175</v>
      </c>
      <c r="H82" s="8">
        <f>G82+G82*$C$82</f>
        <v>6563733.75</v>
      </c>
    </row>
    <row r="83" spans="1:8" x14ac:dyDescent="0.25">
      <c r="A83" s="8" t="s">
        <v>60</v>
      </c>
      <c r="B83" s="8">
        <f>1400*B54</f>
        <v>4200000</v>
      </c>
      <c r="C83" s="8">
        <v>0.06</v>
      </c>
      <c r="D83" s="8">
        <f>B83</f>
        <v>4200000</v>
      </c>
      <c r="E83" s="8">
        <f>D83+D83*$C$83</f>
        <v>4452000</v>
      </c>
      <c r="F83" s="8">
        <f>E83+E83*$C$83</f>
        <v>4719120</v>
      </c>
      <c r="G83" s="8">
        <f>F83+F83*$C$83</f>
        <v>5002267.2</v>
      </c>
      <c r="H83" s="8">
        <f>G83+G83*$C$83</f>
        <v>5302403.2319999998</v>
      </c>
    </row>
    <row r="84" spans="1:8" x14ac:dyDescent="0.25">
      <c r="A84" s="8" t="s">
        <v>61</v>
      </c>
      <c r="B84" s="8">
        <f>1600*B55</f>
        <v>4800000</v>
      </c>
      <c r="C84" s="8">
        <v>0.06</v>
      </c>
      <c r="D84" s="8">
        <f>B84</f>
        <v>4800000</v>
      </c>
      <c r="E84" s="8">
        <f>D84+D84*$C$84</f>
        <v>5088000</v>
      </c>
      <c r="F84" s="8">
        <f>E84+E84*$C$84</f>
        <v>5393280</v>
      </c>
      <c r="G84" s="8">
        <f>F84+F84*$C$84</f>
        <v>5716876.7999999998</v>
      </c>
      <c r="H84" s="8">
        <f>G84+G84*$C$84</f>
        <v>6059889.4079999998</v>
      </c>
    </row>
    <row r="85" spans="1:8" x14ac:dyDescent="0.25">
      <c r="A85" s="8"/>
      <c r="B85" s="8"/>
      <c r="C85" s="8"/>
      <c r="D85" s="8"/>
      <c r="E85" s="8"/>
      <c r="F85" s="8"/>
      <c r="G85" s="8"/>
      <c r="H85" s="8"/>
    </row>
    <row r="86" spans="1:8" x14ac:dyDescent="0.25">
      <c r="A86" s="8" t="s">
        <v>67</v>
      </c>
      <c r="B86" s="8"/>
      <c r="C86" s="8"/>
      <c r="D86" s="8">
        <v>0</v>
      </c>
      <c r="E86" s="8">
        <f>D90</f>
        <v>1620000</v>
      </c>
      <c r="F86" s="8">
        <f>E90</f>
        <v>2041200</v>
      </c>
      <c r="G86" s="8">
        <f>F90</f>
        <v>1998675</v>
      </c>
      <c r="H86" s="8">
        <f>G90</f>
        <v>1649969.9999999991</v>
      </c>
    </row>
    <row r="87" spans="1:8" x14ac:dyDescent="0.25">
      <c r="A87" s="8" t="s">
        <v>69</v>
      </c>
      <c r="B87" s="8"/>
      <c r="C87" s="8"/>
      <c r="D87" s="8">
        <f>D82</f>
        <v>5400000</v>
      </c>
      <c r="E87" s="8">
        <f>E82</f>
        <v>5670000</v>
      </c>
      <c r="F87" s="8">
        <f>F82</f>
        <v>5953500</v>
      </c>
      <c r="G87" s="8">
        <f>G82</f>
        <v>6251175</v>
      </c>
      <c r="H87" s="8">
        <f>H82</f>
        <v>6563733.75</v>
      </c>
    </row>
    <row r="88" spans="1:8" x14ac:dyDescent="0.25">
      <c r="A88" s="8" t="s">
        <v>72</v>
      </c>
      <c r="B88" s="8"/>
      <c r="C88" s="8"/>
      <c r="D88" s="8">
        <f>D87</f>
        <v>5400000</v>
      </c>
      <c r="E88" s="8">
        <f>E86+E87</f>
        <v>7290000</v>
      </c>
      <c r="F88" s="8">
        <f>F86+F87</f>
        <v>7994700</v>
      </c>
      <c r="G88" s="8">
        <f>G86+G87</f>
        <v>8249850</v>
      </c>
      <c r="H88" s="8">
        <f>H86+H87</f>
        <v>8213703.7499999991</v>
      </c>
    </row>
    <row r="89" spans="1:8" x14ac:dyDescent="0.25">
      <c r="A89" s="8" t="s">
        <v>85</v>
      </c>
      <c r="B89" s="8"/>
      <c r="C89" s="8"/>
      <c r="D89" s="8">
        <f>1200*D65</f>
        <v>3780000</v>
      </c>
      <c r="E89" s="8">
        <f>1200*E65</f>
        <v>5248800</v>
      </c>
      <c r="F89" s="8">
        <f>1200*F65</f>
        <v>5996025</v>
      </c>
      <c r="G89" s="8">
        <f>1200*G65</f>
        <v>6599880.0000000009</v>
      </c>
      <c r="H89" s="8">
        <f>1200*H65</f>
        <v>6981648.1874999991</v>
      </c>
    </row>
    <row r="90" spans="1:8" x14ac:dyDescent="0.25">
      <c r="A90" s="8" t="s">
        <v>71</v>
      </c>
      <c r="B90" s="8"/>
      <c r="C90" s="8"/>
      <c r="D90" s="8">
        <f>D88-D89</f>
        <v>1620000</v>
      </c>
      <c r="E90" s="8">
        <f>E88-E89</f>
        <v>2041200</v>
      </c>
      <c r="F90" s="8">
        <f>F88-F89</f>
        <v>1998675</v>
      </c>
      <c r="G90" s="8">
        <f>G88-G89</f>
        <v>1649969.9999999991</v>
      </c>
      <c r="H90" s="8">
        <f>H88-H89</f>
        <v>1232055.5625</v>
      </c>
    </row>
    <row r="91" spans="1:8" x14ac:dyDescent="0.25">
      <c r="A91" s="8"/>
      <c r="B91" s="8"/>
      <c r="C91" s="8"/>
      <c r="D91" s="8"/>
      <c r="E91" s="8"/>
      <c r="F91" s="8"/>
      <c r="G91" s="8"/>
      <c r="H91" s="8"/>
    </row>
    <row r="92" spans="1:8" x14ac:dyDescent="0.25">
      <c r="A92" s="8" t="s">
        <v>73</v>
      </c>
      <c r="B92" s="8"/>
      <c r="C92" s="8"/>
      <c r="D92" s="8">
        <v>0</v>
      </c>
      <c r="E92" s="8">
        <f>D96</f>
        <v>1050000</v>
      </c>
      <c r="F92" s="8">
        <f>E96</f>
        <v>1210440</v>
      </c>
      <c r="G92" s="8">
        <f>F96</f>
        <v>1185912</v>
      </c>
      <c r="H92" s="8">
        <f>G96</f>
        <v>928226.87999999989</v>
      </c>
    </row>
    <row r="93" spans="1:8" x14ac:dyDescent="0.25">
      <c r="A93" s="8" t="s">
        <v>74</v>
      </c>
      <c r="B93" s="8"/>
      <c r="C93" s="8"/>
      <c r="D93" s="8">
        <f>D83</f>
        <v>4200000</v>
      </c>
      <c r="E93" s="8">
        <f>E83</f>
        <v>4452000</v>
      </c>
      <c r="F93" s="8">
        <f>F83</f>
        <v>4719120</v>
      </c>
      <c r="G93" s="8">
        <f>G83</f>
        <v>5002267.2</v>
      </c>
      <c r="H93" s="8">
        <f>H83</f>
        <v>5302403.2319999998</v>
      </c>
    </row>
    <row r="94" spans="1:8" x14ac:dyDescent="0.25">
      <c r="A94" s="8" t="s">
        <v>75</v>
      </c>
      <c r="B94" s="8"/>
      <c r="C94" s="8"/>
      <c r="D94" s="8">
        <f>D93</f>
        <v>4200000</v>
      </c>
      <c r="E94" s="8">
        <f>E92+E93</f>
        <v>5502000</v>
      </c>
      <c r="F94" s="8">
        <f>F92+F93</f>
        <v>5929560</v>
      </c>
      <c r="G94" s="8">
        <f>G92+G93</f>
        <v>6188179.2000000002</v>
      </c>
      <c r="H94" s="8">
        <f>H92+H93</f>
        <v>6230630.1119999997</v>
      </c>
    </row>
    <row r="95" spans="1:8" x14ac:dyDescent="0.25">
      <c r="A95" s="8" t="s">
        <v>85</v>
      </c>
      <c r="B95" s="8"/>
      <c r="C95" s="8"/>
      <c r="D95" s="8">
        <f>1400*D71</f>
        <v>3150000</v>
      </c>
      <c r="E95" s="8">
        <f>1400*E71</f>
        <v>4291560</v>
      </c>
      <c r="F95" s="8">
        <f>1400*F71</f>
        <v>4743648</v>
      </c>
      <c r="G95" s="8">
        <f>1400*G71</f>
        <v>5259952.32</v>
      </c>
      <c r="H95" s="8">
        <f>1400*H71</f>
        <v>5296035.5952000003</v>
      </c>
    </row>
    <row r="96" spans="1:8" x14ac:dyDescent="0.25">
      <c r="A96" s="8" t="s">
        <v>77</v>
      </c>
      <c r="B96" s="8"/>
      <c r="C96" s="8"/>
      <c r="D96" s="8">
        <f>D94-D95</f>
        <v>1050000</v>
      </c>
      <c r="E96" s="8">
        <f>E94-E95</f>
        <v>1210440</v>
      </c>
      <c r="F96" s="8">
        <f>F94-F95</f>
        <v>1185912</v>
      </c>
      <c r="G96" s="8">
        <f>G94-G95</f>
        <v>928226.87999999989</v>
      </c>
      <c r="H96" s="8">
        <f>H94-H95</f>
        <v>934594.5167999994</v>
      </c>
    </row>
    <row r="97" spans="1:8" x14ac:dyDescent="0.25">
      <c r="A97" s="8"/>
      <c r="B97" s="8"/>
      <c r="C97" s="8"/>
      <c r="D97" s="8"/>
      <c r="E97" s="8"/>
      <c r="F97" s="8"/>
      <c r="G97" s="8"/>
      <c r="H97" s="8"/>
    </row>
    <row r="98" spans="1:8" x14ac:dyDescent="0.25">
      <c r="A98" s="8" t="s">
        <v>78</v>
      </c>
      <c r="B98" s="8"/>
      <c r="C98" s="8"/>
      <c r="D98" s="8">
        <v>0</v>
      </c>
      <c r="E98" s="8">
        <f>D102</f>
        <v>1200000</v>
      </c>
      <c r="F98" s="8">
        <f>E102</f>
        <v>1572000</v>
      </c>
      <c r="G98" s="8">
        <f>F102</f>
        <v>1532361.5999999996</v>
      </c>
      <c r="H98" s="8">
        <f>G102</f>
        <v>1232370.527999999</v>
      </c>
    </row>
    <row r="99" spans="1:8" x14ac:dyDescent="0.25">
      <c r="A99" s="8" t="s">
        <v>79</v>
      </c>
      <c r="B99" s="8"/>
      <c r="C99" s="8"/>
      <c r="D99" s="8">
        <f>D84</f>
        <v>4800000</v>
      </c>
      <c r="E99" s="8">
        <f>E84</f>
        <v>5088000</v>
      </c>
      <c r="F99" s="8">
        <f>F84</f>
        <v>5393280</v>
      </c>
      <c r="G99" s="8">
        <f>G84</f>
        <v>5716876.7999999998</v>
      </c>
      <c r="H99" s="8">
        <f>H84</f>
        <v>6059889.4079999998</v>
      </c>
    </row>
    <row r="100" spans="1:8" x14ac:dyDescent="0.25">
      <c r="A100" s="8" t="s">
        <v>80</v>
      </c>
      <c r="B100" s="8"/>
      <c r="C100" s="8"/>
      <c r="D100" s="8">
        <f>D99</f>
        <v>4800000</v>
      </c>
      <c r="E100" s="8">
        <f>E98+E99</f>
        <v>6288000</v>
      </c>
      <c r="F100" s="8">
        <f>F98+F99</f>
        <v>6965280</v>
      </c>
      <c r="G100" s="8">
        <f>G98+G99</f>
        <v>7249238.3999999994</v>
      </c>
      <c r="H100" s="8">
        <f>H98+H99</f>
        <v>7292259.9359999988</v>
      </c>
    </row>
    <row r="101" spans="1:8" x14ac:dyDescent="0.25">
      <c r="A101" s="8" t="s">
        <v>85</v>
      </c>
      <c r="B101" s="8"/>
      <c r="C101" s="8"/>
      <c r="D101" s="8">
        <f>1600*D77</f>
        <v>3600000</v>
      </c>
      <c r="E101" s="8">
        <f>1600*E77</f>
        <v>4716000</v>
      </c>
      <c r="F101" s="8">
        <f>1600*F77</f>
        <v>5432918.4000000004</v>
      </c>
      <c r="G101" s="8">
        <f>1600*G77</f>
        <v>6016867.8720000004</v>
      </c>
      <c r="H101" s="8">
        <f>1600*H77</f>
        <v>6198420.9456000002</v>
      </c>
    </row>
    <row r="102" spans="1:8" x14ac:dyDescent="0.25">
      <c r="A102" s="8" t="s">
        <v>82</v>
      </c>
      <c r="B102" s="8"/>
      <c r="C102" s="8"/>
      <c r="D102" s="8">
        <f>D100-D101</f>
        <v>1200000</v>
      </c>
      <c r="E102" s="8">
        <f>E100-E101</f>
        <v>1572000</v>
      </c>
      <c r="F102" s="8">
        <f>F100-F101</f>
        <v>1532361.5999999996</v>
      </c>
      <c r="G102" s="8">
        <f>G100-G101</f>
        <v>1232370.527999999</v>
      </c>
      <c r="H102" s="8">
        <f>H100-H101</f>
        <v>1093838.9903999986</v>
      </c>
    </row>
    <row r="104" spans="1:8" x14ac:dyDescent="0.25">
      <c r="A104" s="48" t="s">
        <v>45</v>
      </c>
      <c r="B104" s="48"/>
      <c r="C104" s="48"/>
      <c r="D104" s="48"/>
      <c r="E104" s="48"/>
      <c r="F104" s="48"/>
      <c r="G104" s="48"/>
      <c r="H104" s="48"/>
    </row>
    <row r="105" spans="1:8" x14ac:dyDescent="0.25">
      <c r="C105" s="8" t="s">
        <v>26</v>
      </c>
      <c r="D105" s="11" t="s">
        <v>28</v>
      </c>
      <c r="E105" s="11" t="s">
        <v>29</v>
      </c>
      <c r="F105" s="11" t="s">
        <v>30</v>
      </c>
      <c r="G105" s="11" t="s">
        <v>31</v>
      </c>
      <c r="H105" s="12" t="s">
        <v>32</v>
      </c>
    </row>
    <row r="106" spans="1:8" x14ac:dyDescent="0.25">
      <c r="A106" s="8" t="s">
        <v>47</v>
      </c>
      <c r="B106" s="8"/>
      <c r="C106" s="8"/>
      <c r="D106" s="8">
        <f>D65</f>
        <v>3150</v>
      </c>
      <c r="E106" s="8">
        <f t="shared" ref="E106:H106" si="7">E65</f>
        <v>4374</v>
      </c>
      <c r="F106" s="8">
        <f t="shared" si="7"/>
        <v>4996.6875</v>
      </c>
      <c r="G106" s="8">
        <f t="shared" si="7"/>
        <v>5499.9000000000005</v>
      </c>
      <c r="H106" s="8">
        <f t="shared" si="7"/>
        <v>5818.0401562499992</v>
      </c>
    </row>
    <row r="107" spans="1:8" x14ac:dyDescent="0.25">
      <c r="A107" s="8" t="s">
        <v>48</v>
      </c>
      <c r="B107" s="8"/>
      <c r="C107" s="8"/>
      <c r="D107" s="8">
        <f>D71</f>
        <v>2250</v>
      </c>
      <c r="E107" s="8">
        <f t="shared" ref="E107:H107" si="8">E71</f>
        <v>3065.4</v>
      </c>
      <c r="F107" s="8">
        <f t="shared" si="8"/>
        <v>3388.3199999999997</v>
      </c>
      <c r="G107" s="8">
        <f t="shared" si="8"/>
        <v>3757.1088000000004</v>
      </c>
      <c r="H107" s="8">
        <f t="shared" si="8"/>
        <v>3782.8825680000004</v>
      </c>
    </row>
    <row r="108" spans="1:8" x14ac:dyDescent="0.25">
      <c r="A108" s="8" t="s">
        <v>49</v>
      </c>
      <c r="B108" s="8"/>
      <c r="C108" s="8"/>
      <c r="D108" s="8">
        <f>D77</f>
        <v>2250</v>
      </c>
      <c r="E108" s="8">
        <f t="shared" ref="E108:H108" si="9">E77</f>
        <v>2947.5</v>
      </c>
      <c r="F108" s="8">
        <f t="shared" si="9"/>
        <v>3395.5740000000001</v>
      </c>
      <c r="G108" s="8">
        <f t="shared" si="9"/>
        <v>3760.5424200000002</v>
      </c>
      <c r="H108" s="8">
        <f t="shared" si="9"/>
        <v>3874.0130910000003</v>
      </c>
    </row>
    <row r="109" spans="1:8" x14ac:dyDescent="0.25">
      <c r="A109" s="8"/>
      <c r="B109" s="8"/>
      <c r="C109" s="8"/>
      <c r="D109" s="8"/>
      <c r="E109" s="8"/>
      <c r="F109" s="8"/>
      <c r="G109" s="8"/>
      <c r="H109" s="8"/>
    </row>
    <row r="110" spans="1:8" x14ac:dyDescent="0.25">
      <c r="A110" s="8" t="s">
        <v>50</v>
      </c>
      <c r="B110" s="8">
        <v>2500</v>
      </c>
      <c r="C110" s="8">
        <v>7.0000000000000007E-2</v>
      </c>
      <c r="D110" s="8">
        <f>B110</f>
        <v>2500</v>
      </c>
      <c r="E110" s="8">
        <f>D110+D110*$C$110</f>
        <v>2675</v>
      </c>
      <c r="F110" s="8">
        <f>E110+E110*$C$110</f>
        <v>2862.25</v>
      </c>
      <c r="G110" s="8">
        <f>F110+F110*$C$110</f>
        <v>3062.6075000000001</v>
      </c>
      <c r="H110" s="8">
        <f>G110+G110*$C$110</f>
        <v>3276.9900250000001</v>
      </c>
    </row>
    <row r="111" spans="1:8" x14ac:dyDescent="0.25">
      <c r="A111" s="8" t="s">
        <v>51</v>
      </c>
      <c r="B111" s="8">
        <v>2800</v>
      </c>
      <c r="C111" s="8">
        <v>7.0000000000000007E-2</v>
      </c>
      <c r="D111" s="8">
        <f>B111</f>
        <v>2800</v>
      </c>
      <c r="E111" s="8">
        <f>D111+D111*$C$111</f>
        <v>2996</v>
      </c>
      <c r="F111" s="8">
        <f>E111+E111*$C$111</f>
        <v>3205.7200000000003</v>
      </c>
      <c r="G111" s="8">
        <f>F111+F111*$C$111</f>
        <v>3430.1204000000002</v>
      </c>
      <c r="H111" s="8">
        <f>G111+G111*$C$111</f>
        <v>3670.2288280000002</v>
      </c>
    </row>
    <row r="112" spans="1:8" x14ac:dyDescent="0.25">
      <c r="A112" s="8" t="s">
        <v>52</v>
      </c>
      <c r="B112" s="8">
        <v>3000</v>
      </c>
      <c r="C112" s="8">
        <v>7.0000000000000007E-2</v>
      </c>
      <c r="D112" s="8">
        <f>B112</f>
        <v>3000</v>
      </c>
      <c r="E112" s="8">
        <f>D112+D112*$C$112</f>
        <v>3210</v>
      </c>
      <c r="F112" s="8">
        <f>E112+E112*$C$112</f>
        <v>3434.7</v>
      </c>
      <c r="G112" s="8">
        <f>F112+F112*$C$112</f>
        <v>3675.1289999999999</v>
      </c>
      <c r="H112" s="8">
        <f>G112+G112*$C$112</f>
        <v>3932.3880300000001</v>
      </c>
    </row>
    <row r="113" spans="1:8" x14ac:dyDescent="0.25">
      <c r="A113" s="8"/>
      <c r="B113" s="8"/>
      <c r="C113" s="8"/>
      <c r="D113" s="8"/>
      <c r="E113" s="8"/>
      <c r="F113" s="8"/>
      <c r="G113" s="8"/>
      <c r="H113" s="8"/>
    </row>
    <row r="114" spans="1:8" x14ac:dyDescent="0.25">
      <c r="A114" s="8" t="s">
        <v>46</v>
      </c>
      <c r="B114" s="8"/>
      <c r="C114" s="8"/>
      <c r="D114" s="8">
        <f>D$106*D$110</f>
        <v>7875000</v>
      </c>
      <c r="E114" s="8">
        <f>E$106*E$110</f>
        <v>11700450</v>
      </c>
      <c r="F114" s="8">
        <f>F$106*F$110</f>
        <v>14301768.796875</v>
      </c>
      <c r="G114" s="8">
        <f>G$106*G$110</f>
        <v>16844034.989250001</v>
      </c>
      <c r="H114" s="8">
        <f>H$106*H$110</f>
        <v>19065659.55708069</v>
      </c>
    </row>
    <row r="115" spans="1:8" x14ac:dyDescent="0.25">
      <c r="A115" s="8" t="s">
        <v>53</v>
      </c>
      <c r="B115" s="8"/>
      <c r="C115" s="8"/>
      <c r="D115" s="8">
        <f>D$107*D$111</f>
        <v>6300000</v>
      </c>
      <c r="E115" s="8">
        <f>E$107*E$111</f>
        <v>9183938.4000000004</v>
      </c>
      <c r="F115" s="8">
        <f>F$107*F$111</f>
        <v>10862005.190400001</v>
      </c>
      <c r="G115" s="8">
        <f>G$107*G$111</f>
        <v>12887335.539899522</v>
      </c>
      <c r="H115" s="8">
        <f>H$107*H$111</f>
        <v>13884044.654012272</v>
      </c>
    </row>
    <row r="116" spans="1:8" x14ac:dyDescent="0.25">
      <c r="A116" s="8" t="s">
        <v>54</v>
      </c>
      <c r="B116" s="8"/>
      <c r="C116" s="8"/>
      <c r="D116" s="8">
        <f>D$108*D$112</f>
        <v>6750000</v>
      </c>
      <c r="E116" s="8">
        <f>E$108*E$112</f>
        <v>9461475</v>
      </c>
      <c r="F116" s="8">
        <f>F$108*F$112</f>
        <v>11662778.0178</v>
      </c>
      <c r="G116" s="8">
        <f>G$108*G$112</f>
        <v>13820478.503472181</v>
      </c>
      <c r="H116" s="8">
        <f>H$108*H$112</f>
        <v>15234122.707111701</v>
      </c>
    </row>
    <row r="117" spans="1:8" x14ac:dyDescent="0.25">
      <c r="A117" s="8"/>
      <c r="B117" s="8"/>
      <c r="C117" s="8"/>
      <c r="D117" s="8"/>
      <c r="E117" s="8"/>
      <c r="F117" s="8"/>
      <c r="G117" s="8"/>
      <c r="H117" s="8"/>
    </row>
    <row r="118" spans="1:8" x14ac:dyDescent="0.25">
      <c r="A118" s="8" t="s">
        <v>55</v>
      </c>
      <c r="B118" s="8"/>
      <c r="C118" s="8"/>
      <c r="D118" s="8">
        <f>SUM(D114:D116)</f>
        <v>20925000</v>
      </c>
      <c r="E118" s="8">
        <f>SUM(E114:E116)</f>
        <v>30345863.399999999</v>
      </c>
      <c r="F118" s="8">
        <f>SUM(F114:F116)</f>
        <v>36826552.005075</v>
      </c>
      <c r="G118" s="8">
        <f>SUM(G114:G116)</f>
        <v>43551849.032621704</v>
      </c>
      <c r="H118" s="8">
        <f>SUM(H114:H116)</f>
        <v>48183826.918204665</v>
      </c>
    </row>
    <row r="120" spans="1:8" x14ac:dyDescent="0.25">
      <c r="A120" s="15" t="s">
        <v>86</v>
      </c>
      <c r="B120" s="8" t="s">
        <v>91</v>
      </c>
      <c r="C120" s="8">
        <v>1</v>
      </c>
    </row>
    <row r="121" spans="1:8" x14ac:dyDescent="0.25">
      <c r="A121" s="15" t="s">
        <v>107</v>
      </c>
      <c r="B121" s="8" t="s">
        <v>88</v>
      </c>
      <c r="C121" s="8">
        <v>10</v>
      </c>
    </row>
    <row r="122" spans="1:8" x14ac:dyDescent="0.25">
      <c r="A122" s="15" t="s">
        <v>89</v>
      </c>
      <c r="B122" s="8" t="s">
        <v>90</v>
      </c>
      <c r="C122" s="8">
        <v>0.25</v>
      </c>
    </row>
    <row r="131" spans="6:6" x14ac:dyDescent="0.25">
      <c r="F131" s="3" t="s">
        <v>132</v>
      </c>
    </row>
  </sheetData>
  <mergeCells count="20">
    <mergeCell ref="A51:H51"/>
    <mergeCell ref="A80:H80"/>
    <mergeCell ref="A104:H104"/>
    <mergeCell ref="G6:H6"/>
    <mergeCell ref="G7:H7"/>
    <mergeCell ref="G8:H8"/>
    <mergeCell ref="A33:H33"/>
    <mergeCell ref="A19:H19"/>
    <mergeCell ref="A26:H26"/>
    <mergeCell ref="A5:D5"/>
    <mergeCell ref="A10:H10"/>
    <mergeCell ref="D1:D3"/>
    <mergeCell ref="E1:E3"/>
    <mergeCell ref="F1:F3"/>
    <mergeCell ref="G1:G3"/>
    <mergeCell ref="H1:H3"/>
    <mergeCell ref="C1:C3"/>
    <mergeCell ref="B1:B3"/>
    <mergeCell ref="A1:A3"/>
    <mergeCell ref="F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7DE3-3A5A-46CD-BF5F-917BFCC152E8}">
  <dimension ref="A1:H20"/>
  <sheetViews>
    <sheetView zoomScale="70" zoomScaleNormal="70" workbookViewId="0">
      <selection activeCell="E20" sqref="E20"/>
    </sheetView>
  </sheetViews>
  <sheetFormatPr defaultRowHeight="15.75" x14ac:dyDescent="0.25"/>
  <cols>
    <col min="1" max="1" width="28.85546875" style="3" customWidth="1"/>
    <col min="2" max="3" width="9.140625" style="3"/>
    <col min="4" max="8" width="15.5703125" style="3" customWidth="1"/>
    <col min="9" max="16384" width="9.140625" style="3"/>
  </cols>
  <sheetData>
    <row r="1" spans="1:8" ht="31.5" x14ac:dyDescent="0.25">
      <c r="A1" s="16" t="s">
        <v>93</v>
      </c>
      <c r="B1" s="17"/>
      <c r="C1" s="18"/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x14ac:dyDescent="0.25">
      <c r="A3" s="8" t="s">
        <v>68</v>
      </c>
      <c r="B3" s="8"/>
      <c r="C3" s="8"/>
      <c r="D3" s="8" cm="1">
        <f t="array" ref="D3:H3">AS!D118:H118</f>
        <v>20925000</v>
      </c>
      <c r="E3" s="8">
        <v>30345863.399999999</v>
      </c>
      <c r="F3" s="8">
        <v>36826552.005075</v>
      </c>
      <c r="G3" s="8">
        <v>43551849.032621704</v>
      </c>
      <c r="H3" s="8">
        <v>48183826.918204665</v>
      </c>
    </row>
    <row r="4" spans="1:8" x14ac:dyDescent="0.25">
      <c r="A4" s="8" t="s">
        <v>85</v>
      </c>
      <c r="B4" s="8"/>
      <c r="C4" s="8"/>
      <c r="D4" s="8">
        <f>AS!D89+AS!D95+AS!D101</f>
        <v>10530000</v>
      </c>
      <c r="E4" s="8">
        <f>AS!E89+AS!E95+AS!E101</f>
        <v>14256360</v>
      </c>
      <c r="F4" s="8">
        <f>AS!F89+AS!F95+AS!F101</f>
        <v>16172591.4</v>
      </c>
      <c r="G4" s="8">
        <f>AS!G89+AS!G95+AS!G101</f>
        <v>17876700.192000002</v>
      </c>
      <c r="H4" s="8">
        <f>AS!H89+AS!H95+AS!H101</f>
        <v>18476104.728299998</v>
      </c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 t="s">
        <v>94</v>
      </c>
      <c r="B6" s="8"/>
      <c r="C6" s="8"/>
      <c r="D6" s="8">
        <f>D3-D4</f>
        <v>10395000</v>
      </c>
      <c r="E6" s="8">
        <f t="shared" ref="E6:H6" si="0">E3-E4</f>
        <v>16089503.399999999</v>
      </c>
      <c r="F6" s="8">
        <f t="shared" si="0"/>
        <v>20653960.605075002</v>
      </c>
      <c r="G6" s="8">
        <f t="shared" si="0"/>
        <v>25675148.840621702</v>
      </c>
      <c r="H6" s="8">
        <f t="shared" si="0"/>
        <v>29707722.189904667</v>
      </c>
    </row>
    <row r="7" spans="1:8" x14ac:dyDescent="0.25">
      <c r="A7" s="8" t="s">
        <v>96</v>
      </c>
      <c r="B7" s="8"/>
      <c r="C7" s="8"/>
      <c r="D7" s="8" cm="1">
        <f t="array" ref="D7:H7">AS!D49:H49</f>
        <v>1731000</v>
      </c>
      <c r="E7" s="8">
        <v>1952380</v>
      </c>
      <c r="F7" s="8">
        <v>2334997.92</v>
      </c>
      <c r="G7" s="8">
        <v>2839018.8404800002</v>
      </c>
      <c r="H7" s="8">
        <v>3504813.5657251203</v>
      </c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 t="s">
        <v>97</v>
      </c>
      <c r="B9" s="8"/>
      <c r="C9" s="8"/>
      <c r="D9" s="8">
        <f>D6-D7</f>
        <v>8664000</v>
      </c>
      <c r="E9" s="8">
        <f t="shared" ref="E9:H9" si="1">E6-E7</f>
        <v>14137123.399999999</v>
      </c>
      <c r="F9" s="8">
        <f t="shared" si="1"/>
        <v>18318962.685075</v>
      </c>
      <c r="G9" s="8">
        <f t="shared" si="1"/>
        <v>22836130.000141703</v>
      </c>
      <c r="H9" s="8">
        <f t="shared" si="1"/>
        <v>26202908.624179546</v>
      </c>
    </row>
    <row r="10" spans="1:8" x14ac:dyDescent="0.25">
      <c r="A10" s="8" t="s">
        <v>98</v>
      </c>
      <c r="B10" s="8"/>
      <c r="C10" s="8"/>
      <c r="D10" s="8">
        <f>AS!D23+AS!D30</f>
        <v>120000</v>
      </c>
      <c r="E10" s="8">
        <f>AS!E23+AS!E30</f>
        <v>105600</v>
      </c>
      <c r="F10" s="8">
        <f>AS!F23+AS!F30</f>
        <v>92928</v>
      </c>
      <c r="G10" s="8">
        <f>AS!G23+AS!G30</f>
        <v>81776.639999999999</v>
      </c>
      <c r="H10" s="8">
        <f>AS!H23+AS!H30</f>
        <v>71963.443200000009</v>
      </c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 t="s">
        <v>99</v>
      </c>
      <c r="B12" s="8"/>
      <c r="C12" s="8"/>
      <c r="D12" s="8">
        <f>D9-D10</f>
        <v>8544000</v>
      </c>
      <c r="E12" s="8">
        <f t="shared" ref="E12:H12" si="2">E9-E10</f>
        <v>14031523.399999999</v>
      </c>
      <c r="F12" s="8">
        <f t="shared" si="2"/>
        <v>18226034.685075</v>
      </c>
      <c r="G12" s="8">
        <f t="shared" si="2"/>
        <v>22754353.360141702</v>
      </c>
      <c r="H12" s="8">
        <f t="shared" si="2"/>
        <v>26130945.180979546</v>
      </c>
    </row>
    <row r="13" spans="1:8" x14ac:dyDescent="0.25">
      <c r="A13" s="8" t="s">
        <v>100</v>
      </c>
      <c r="B13" s="8"/>
      <c r="C13" s="8"/>
      <c r="D13" s="8">
        <f>AS!D16</f>
        <v>300000</v>
      </c>
      <c r="E13" s="8">
        <f>AS!E16</f>
        <v>240000</v>
      </c>
      <c r="F13" s="8">
        <f>AS!F16</f>
        <v>180000</v>
      </c>
      <c r="G13" s="8">
        <f>AS!G16</f>
        <v>120000</v>
      </c>
      <c r="H13" s="8">
        <f>AS!H16</f>
        <v>60000</v>
      </c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 t="s">
        <v>101</v>
      </c>
      <c r="B15" s="8"/>
      <c r="C15" s="8"/>
      <c r="D15" s="8">
        <f>D12-D13</f>
        <v>8244000</v>
      </c>
      <c r="E15" s="8">
        <f t="shared" ref="E15:H15" si="3">E12-E13</f>
        <v>13791523.399999999</v>
      </c>
      <c r="F15" s="8">
        <f t="shared" si="3"/>
        <v>18046034.685075</v>
      </c>
      <c r="G15" s="8">
        <f t="shared" si="3"/>
        <v>22634353.360141702</v>
      </c>
      <c r="H15" s="8">
        <f t="shared" si="3"/>
        <v>26070945.180979546</v>
      </c>
    </row>
    <row r="16" spans="1:8" x14ac:dyDescent="0.25">
      <c r="A16" s="8" t="s">
        <v>102</v>
      </c>
      <c r="B16" s="8"/>
      <c r="C16" s="8"/>
      <c r="D16" s="8">
        <f>IF(D15&gt;0,AS!$C$122,0)*D15</f>
        <v>2061000</v>
      </c>
      <c r="E16" s="8">
        <f>IF(E15&gt;0,AS!$C$122,0)*E15</f>
        <v>3447880.8499999996</v>
      </c>
      <c r="F16" s="8">
        <f>IF(F15&gt;0,AS!$C$122,0)*F15</f>
        <v>4511508.67126875</v>
      </c>
      <c r="G16" s="8">
        <f>IF(G15&gt;0,AS!$C$122,0)*G15</f>
        <v>5658588.3400354255</v>
      </c>
      <c r="H16" s="8">
        <f>IF(H15&gt;0,AS!$C$122,0)*H15</f>
        <v>6517736.2952448865</v>
      </c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 t="s">
        <v>103</v>
      </c>
      <c r="B18" s="8"/>
      <c r="C18" s="8"/>
      <c r="D18" s="8">
        <f>D15-D16</f>
        <v>6183000</v>
      </c>
      <c r="E18" s="8">
        <f t="shared" ref="E18:H18" si="4">E15-E16</f>
        <v>10343642.549999999</v>
      </c>
      <c r="F18" s="8">
        <f t="shared" si="4"/>
        <v>13534526.01380625</v>
      </c>
      <c r="G18" s="8">
        <f t="shared" si="4"/>
        <v>16975765.020106278</v>
      </c>
      <c r="H18" s="8">
        <f t="shared" si="4"/>
        <v>19553208.885734659</v>
      </c>
    </row>
    <row r="20" spans="1:8" x14ac:dyDescent="0.25">
      <c r="E20" s="25"/>
      <c r="F20" s="25"/>
      <c r="G20" s="25"/>
      <c r="H2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4235-580F-4D2B-916C-0E53892A4CB4}">
  <dimension ref="A1:H20"/>
  <sheetViews>
    <sheetView topLeftCell="A2" workbookViewId="0">
      <selection activeCell="L12" sqref="L12"/>
    </sheetView>
  </sheetViews>
  <sheetFormatPr defaultRowHeight="15" x14ac:dyDescent="0.25"/>
  <cols>
    <col min="1" max="1" width="20.28515625" style="1" customWidth="1"/>
    <col min="2" max="3" width="6.28515625" style="1" customWidth="1"/>
    <col min="4" max="8" width="11.28515625" style="1" customWidth="1"/>
    <col min="9" max="16384" width="9.140625" style="1"/>
  </cols>
  <sheetData>
    <row r="1" spans="1:8" ht="30" x14ac:dyDescent="0.25">
      <c r="A1" s="20" t="s">
        <v>104</v>
      </c>
      <c r="B1" s="21"/>
      <c r="C1" s="22"/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105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6</v>
      </c>
      <c r="B4" s="2"/>
      <c r="C4" s="2"/>
      <c r="D4" s="2">
        <f>AS!$D$6</f>
        <v>15000000</v>
      </c>
      <c r="E4" s="2">
        <f>AS!$D$6</f>
        <v>15000000</v>
      </c>
      <c r="F4" s="2">
        <f>AS!$D$6</f>
        <v>15000000</v>
      </c>
      <c r="G4" s="2">
        <f>AS!$D$6</f>
        <v>15000000</v>
      </c>
      <c r="H4" s="2">
        <f>AS!$D$6</f>
        <v>15000000</v>
      </c>
    </row>
    <row r="5" spans="1:8" x14ac:dyDescent="0.25">
      <c r="A5" s="2" t="s">
        <v>106</v>
      </c>
      <c r="B5" s="2"/>
      <c r="C5" s="2"/>
      <c r="D5" s="2">
        <f>IS!D18</f>
        <v>6183000</v>
      </c>
      <c r="E5" s="2">
        <f>D5+IS!E18</f>
        <v>16526642.549999999</v>
      </c>
      <c r="F5" s="2">
        <f>E5+IS!F18</f>
        <v>30061168.563806251</v>
      </c>
      <c r="G5" s="2">
        <f>F5+IS!G18</f>
        <v>47036933.583912529</v>
      </c>
      <c r="H5" s="2">
        <f>G5+IS!H18</f>
        <v>66590142.469647184</v>
      </c>
    </row>
    <row r="6" spans="1:8" x14ac:dyDescent="0.25">
      <c r="A6" s="2" t="s">
        <v>8</v>
      </c>
      <c r="B6" s="2"/>
      <c r="C6" s="2"/>
      <c r="D6" s="2" cm="1">
        <f t="array" ref="D6:G6">AS!E15:H15</f>
        <v>2000000</v>
      </c>
      <c r="E6" s="2">
        <v>1500000</v>
      </c>
      <c r="F6" s="2">
        <v>1000000</v>
      </c>
      <c r="G6" s="2">
        <v>500000</v>
      </c>
      <c r="H6" s="2">
        <v>0</v>
      </c>
    </row>
    <row r="7" spans="1:8" x14ac:dyDescent="0.25">
      <c r="A7" s="2" t="s">
        <v>87</v>
      </c>
      <c r="B7" s="2"/>
      <c r="C7" s="2"/>
      <c r="D7" s="2">
        <f>(AS!D39/365)*AS!$C$121</f>
        <v>19726.027397260274</v>
      </c>
      <c r="E7" s="2">
        <f>(AS!E39/365)*AS!$C$121</f>
        <v>26511.780821917811</v>
      </c>
      <c r="F7" s="2">
        <f>(AS!F39/365)*AS!$C$121</f>
        <v>35631.833424657532</v>
      </c>
      <c r="G7" s="2">
        <f>(AS!G39/365)*AS!$C$121</f>
        <v>47889.184122739724</v>
      </c>
      <c r="H7" s="2">
        <f>(AS!H39/365)*AS!$C$121</f>
        <v>64363.063460962192</v>
      </c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 t="s">
        <v>108</v>
      </c>
      <c r="B9" s="2"/>
      <c r="C9" s="2"/>
      <c r="D9" s="2">
        <f>SUM(D4:D7)</f>
        <v>23202726.02739726</v>
      </c>
      <c r="E9" s="2">
        <f t="shared" ref="E9:H9" si="0">SUM(E4:E7)</f>
        <v>33053154.330821916</v>
      </c>
      <c r="F9" s="2">
        <f t="shared" si="0"/>
        <v>46096800.397230908</v>
      </c>
      <c r="G9" s="2">
        <f t="shared" si="0"/>
        <v>62584822.76803527</v>
      </c>
      <c r="H9" s="2">
        <f t="shared" si="0"/>
        <v>81654505.533108145</v>
      </c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109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17</v>
      </c>
      <c r="B12" s="2"/>
      <c r="C12" s="2"/>
      <c r="D12" s="2" cm="1">
        <f t="array" ref="D12:H12">AS!D24:H24</f>
        <v>704000</v>
      </c>
      <c r="E12" s="2">
        <v>619520</v>
      </c>
      <c r="F12" s="2">
        <v>545177.59999999998</v>
      </c>
      <c r="G12" s="2">
        <v>479756.288</v>
      </c>
      <c r="H12" s="2">
        <v>422185.53344000003</v>
      </c>
    </row>
    <row r="13" spans="1:8" x14ac:dyDescent="0.25">
      <c r="A13" s="2" t="s">
        <v>110</v>
      </c>
      <c r="B13" s="2"/>
      <c r="C13" s="2"/>
      <c r="D13" s="2" cm="1">
        <f t="array" ref="D13:H13">AS!D31:H31</f>
        <v>176000</v>
      </c>
      <c r="E13" s="2">
        <v>154880</v>
      </c>
      <c r="F13" s="2">
        <v>136294.39999999999</v>
      </c>
      <c r="G13" s="2">
        <v>119939.072</v>
      </c>
      <c r="H13" s="2">
        <v>105546.38336000001</v>
      </c>
    </row>
    <row r="14" spans="1:8" x14ac:dyDescent="0.25">
      <c r="A14" s="2" t="s">
        <v>86</v>
      </c>
      <c r="B14" s="2"/>
      <c r="C14" s="2"/>
      <c r="D14" s="2">
        <f>IS!D3/12</f>
        <v>1743750</v>
      </c>
      <c r="E14" s="2">
        <f>IS!E3/12</f>
        <v>2528821.9499999997</v>
      </c>
      <c r="F14" s="2">
        <f>IS!F3/12</f>
        <v>3068879.3337562499</v>
      </c>
      <c r="G14" s="2">
        <f>IS!G3/12</f>
        <v>3629320.7527184752</v>
      </c>
      <c r="H14" s="2">
        <f>IS!H3/12</f>
        <v>4015318.9098503888</v>
      </c>
    </row>
    <row r="15" spans="1:8" x14ac:dyDescent="0.25">
      <c r="A15" s="2" t="s">
        <v>62</v>
      </c>
      <c r="B15" s="2"/>
      <c r="C15" s="2"/>
      <c r="D15" s="2">
        <f>AS!D90+AS!D96+AS!D102</f>
        <v>3870000</v>
      </c>
      <c r="E15" s="2">
        <f>AS!E90+AS!E96+AS!E102</f>
        <v>4823640</v>
      </c>
      <c r="F15" s="2">
        <f>AS!F90+AS!F96+AS!F102</f>
        <v>4716948.5999999996</v>
      </c>
      <c r="G15" s="2">
        <f>AS!G90+AS!G96+AS!G102</f>
        <v>3810567.407999998</v>
      </c>
      <c r="H15" s="2">
        <f>AS!H90+AS!H96+AS!H102</f>
        <v>3260489.069699998</v>
      </c>
    </row>
    <row r="16" spans="1:8" x14ac:dyDescent="0.25">
      <c r="A16" s="2" t="s">
        <v>111</v>
      </c>
      <c r="B16" s="2"/>
      <c r="C16" s="2"/>
      <c r="D16" s="2" cm="1">
        <f t="array" ref="D16:H16">CF!D23:H23</f>
        <v>16708976.02739726</v>
      </c>
      <c r="E16" s="2">
        <v>24926292.380821917</v>
      </c>
      <c r="F16" s="2">
        <v>37629500.463474661</v>
      </c>
      <c r="G16" s="2">
        <v>54545239.2473168</v>
      </c>
      <c r="H16" s="2">
        <v>73850965.636757761</v>
      </c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117</v>
      </c>
      <c r="B18" s="2"/>
      <c r="C18" s="2"/>
      <c r="D18" s="2">
        <f>SUM(D12:D16)</f>
        <v>23202726.02739726</v>
      </c>
      <c r="E18" s="2">
        <f t="shared" ref="E18:H18" si="1">SUM(E12:E16)</f>
        <v>33053154.330821916</v>
      </c>
      <c r="F18" s="2">
        <f t="shared" si="1"/>
        <v>46096800.397230908</v>
      </c>
      <c r="G18" s="2">
        <f t="shared" si="1"/>
        <v>62584822.76803527</v>
      </c>
      <c r="H18" s="2">
        <f t="shared" si="1"/>
        <v>81654505.533108145</v>
      </c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118</v>
      </c>
      <c r="B20" s="2"/>
      <c r="C20" s="2"/>
      <c r="D20" s="2">
        <f>D15+D14-D7</f>
        <v>5594023.9726027399</v>
      </c>
      <c r="E20" s="2">
        <f t="shared" ref="E20:H20" si="2">E15+E14-E7</f>
        <v>7325950.1691780817</v>
      </c>
      <c r="F20" s="2">
        <f t="shared" si="2"/>
        <v>7750196.1003315914</v>
      </c>
      <c r="G20" s="2">
        <f t="shared" si="2"/>
        <v>7391998.9765957333</v>
      </c>
      <c r="H20" s="2">
        <f t="shared" si="2"/>
        <v>7211444.9160894249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4955-0052-4C3D-8116-C29B4998F200}">
  <dimension ref="A1:H23"/>
  <sheetViews>
    <sheetView topLeftCell="A4" zoomScale="85" zoomScaleNormal="85" workbookViewId="0">
      <selection activeCell="K15" sqref="K15"/>
    </sheetView>
  </sheetViews>
  <sheetFormatPr defaultRowHeight="15" x14ac:dyDescent="0.25"/>
  <cols>
    <col min="1" max="1" width="23.85546875" style="1" customWidth="1"/>
    <col min="2" max="3" width="9.140625" style="1"/>
    <col min="4" max="4" width="11.7109375" style="1" customWidth="1"/>
    <col min="5" max="6" width="11.7109375" style="1" bestFit="1" customWidth="1"/>
    <col min="7" max="7" width="11.7109375" style="1" customWidth="1"/>
    <col min="8" max="8" width="11.7109375" style="1" bestFit="1" customWidth="1"/>
    <col min="9" max="16384" width="9.140625" style="1"/>
  </cols>
  <sheetData>
    <row r="1" spans="1:8" ht="30" x14ac:dyDescent="0.25">
      <c r="A1" s="20" t="s">
        <v>112</v>
      </c>
      <c r="B1" s="21"/>
      <c r="C1" s="22"/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113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103</v>
      </c>
      <c r="B4" s="2"/>
      <c r="C4" s="2"/>
      <c r="D4" s="2" cm="1">
        <f t="array" ref="D4:H4">IS!D18:H18</f>
        <v>6183000</v>
      </c>
      <c r="E4" s="2">
        <v>10343642.549999999</v>
      </c>
      <c r="F4" s="2">
        <v>13534526.01380625</v>
      </c>
      <c r="G4" s="2">
        <v>16975765.020106278</v>
      </c>
      <c r="H4" s="2">
        <v>19553208.885734659</v>
      </c>
    </row>
    <row r="5" spans="1:8" x14ac:dyDescent="0.25">
      <c r="A5" s="2" t="s">
        <v>114</v>
      </c>
      <c r="B5" s="2"/>
      <c r="C5" s="2"/>
      <c r="D5" s="2" cm="1">
        <f t="array" ref="D5:H5">IS!D10:H10</f>
        <v>120000</v>
      </c>
      <c r="E5" s="2">
        <v>105600</v>
      </c>
      <c r="F5" s="2">
        <v>92928</v>
      </c>
      <c r="G5" s="2">
        <v>81776.639999999999</v>
      </c>
      <c r="H5" s="2">
        <v>71963.443200000009</v>
      </c>
    </row>
    <row r="6" spans="1:8" x14ac:dyDescent="0.25">
      <c r="A6" s="2" t="s">
        <v>115</v>
      </c>
      <c r="B6" s="2"/>
      <c r="C6" s="2"/>
      <c r="D6" s="2" cm="1">
        <f t="array" ref="D6:H6">IS!D13:H13</f>
        <v>300000</v>
      </c>
      <c r="E6" s="2">
        <v>240000</v>
      </c>
      <c r="F6" s="2">
        <v>180000</v>
      </c>
      <c r="G6" s="2">
        <v>120000</v>
      </c>
      <c r="H6" s="2">
        <v>60000</v>
      </c>
    </row>
    <row r="7" spans="1:8" x14ac:dyDescent="0.25">
      <c r="A7" s="2" t="s">
        <v>116</v>
      </c>
      <c r="B7" s="2"/>
      <c r="C7" s="2"/>
      <c r="D7" s="2">
        <f>-BS!D20</f>
        <v>-5594023.9726027399</v>
      </c>
      <c r="E7" s="2">
        <f>-(BS!E20-BS!D20)</f>
        <v>-1731926.1965753417</v>
      </c>
      <c r="F7" s="2">
        <f>-(BS!F20-BS!E20)</f>
        <v>-424245.93115350977</v>
      </c>
      <c r="G7" s="2">
        <f>-(BS!G20-BS!F20)</f>
        <v>358197.12373585813</v>
      </c>
      <c r="H7" s="2">
        <f>-(BS!H20-BS!G20)</f>
        <v>180554.06050630845</v>
      </c>
    </row>
    <row r="8" spans="1:8" x14ac:dyDescent="0.25">
      <c r="A8" s="2" t="s">
        <v>123</v>
      </c>
      <c r="B8" s="2"/>
      <c r="C8" s="2"/>
      <c r="D8" s="2">
        <f>SUM(D4:D7)</f>
        <v>1008976.0273972601</v>
      </c>
      <c r="E8" s="2">
        <f t="shared" ref="E8:H8" si="0">SUM(E4:E7)</f>
        <v>8957316.3534246571</v>
      </c>
      <c r="F8" s="2">
        <f t="shared" si="0"/>
        <v>13383208.08265274</v>
      </c>
      <c r="G8" s="2">
        <f t="shared" si="0"/>
        <v>17535738.783842139</v>
      </c>
      <c r="H8" s="2">
        <f t="shared" si="0"/>
        <v>19865726.389440969</v>
      </c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 t="s">
        <v>119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120</v>
      </c>
      <c r="B11" s="2"/>
      <c r="C11" s="2"/>
      <c r="D11" s="2">
        <f>-AS!D22</f>
        <v>-800000</v>
      </c>
      <c r="E11" s="2">
        <v>0</v>
      </c>
      <c r="F11" s="2">
        <v>0</v>
      </c>
      <c r="G11" s="2">
        <v>0</v>
      </c>
      <c r="H11" s="2">
        <v>0</v>
      </c>
    </row>
    <row r="12" spans="1:8" ht="30" x14ac:dyDescent="0.25">
      <c r="A12" s="24" t="s">
        <v>121</v>
      </c>
      <c r="B12" s="2"/>
      <c r="C12" s="2"/>
      <c r="D12" s="2">
        <f>-AS!D29</f>
        <v>-200000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s="2" t="s">
        <v>122</v>
      </c>
      <c r="B13" s="2"/>
      <c r="C13" s="2"/>
      <c r="D13" s="2">
        <f>SUM(D11:D12)</f>
        <v>-1000000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124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125</v>
      </c>
      <c r="B16" s="2"/>
      <c r="C16" s="2"/>
      <c r="D16" s="2">
        <f>AS!D6</f>
        <v>15000000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25">
      <c r="A17" s="2" t="s">
        <v>126</v>
      </c>
      <c r="B17" s="2"/>
      <c r="C17" s="2"/>
      <c r="D17" s="2">
        <f>-AS!D14+AS!D15</f>
        <v>2000000</v>
      </c>
      <c r="E17" s="2" cm="1">
        <f t="array" ref="E17:H17">-AS!E14:H14</f>
        <v>-500000</v>
      </c>
      <c r="F17" s="2">
        <v>-500000</v>
      </c>
      <c r="G17" s="2">
        <v>-500000</v>
      </c>
      <c r="H17" s="2">
        <v>-500000</v>
      </c>
    </row>
    <row r="18" spans="1:8" x14ac:dyDescent="0.25">
      <c r="A18" s="2" t="s">
        <v>127</v>
      </c>
      <c r="B18" s="2"/>
      <c r="C18" s="2"/>
      <c r="D18" s="2" cm="1">
        <f t="array" ref="D18:H18">IS!D13:H13</f>
        <v>300000</v>
      </c>
      <c r="E18" s="2">
        <v>240000</v>
      </c>
      <c r="F18" s="2">
        <v>180000</v>
      </c>
      <c r="G18" s="2">
        <v>120000</v>
      </c>
      <c r="H18" s="2">
        <v>60000</v>
      </c>
    </row>
    <row r="19" spans="1:8" x14ac:dyDescent="0.25">
      <c r="A19" s="2" t="s">
        <v>129</v>
      </c>
      <c r="B19" s="2"/>
      <c r="C19" s="2"/>
      <c r="D19" s="2">
        <f>D16+D17-D18</f>
        <v>16700000</v>
      </c>
      <c r="E19" s="2">
        <f t="shared" ref="E19:H19" si="1">E16+E17-E18</f>
        <v>-740000</v>
      </c>
      <c r="F19" s="2">
        <f t="shared" si="1"/>
        <v>-680000</v>
      </c>
      <c r="G19" s="2">
        <f t="shared" si="1"/>
        <v>-620000</v>
      </c>
      <c r="H19" s="2">
        <f t="shared" si="1"/>
        <v>-560000</v>
      </c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ht="30" x14ac:dyDescent="0.25">
      <c r="A21" s="24" t="s">
        <v>128</v>
      </c>
      <c r="B21" s="2"/>
      <c r="C21" s="2"/>
      <c r="D21" s="2">
        <f>D8+D13+D19</f>
        <v>16708976.02739726</v>
      </c>
      <c r="E21" s="2">
        <f t="shared" ref="E21:H21" si="2">E8+E13+E19</f>
        <v>8217316.3534246571</v>
      </c>
      <c r="F21" s="2">
        <f t="shared" si="2"/>
        <v>12703208.08265274</v>
      </c>
      <c r="G21" s="2">
        <f t="shared" si="2"/>
        <v>16915738.783842139</v>
      </c>
      <c r="H21" s="2">
        <f t="shared" si="2"/>
        <v>19305726.389440969</v>
      </c>
    </row>
    <row r="22" spans="1:8" x14ac:dyDescent="0.25">
      <c r="A22" s="2" t="s">
        <v>130</v>
      </c>
      <c r="B22" s="2"/>
      <c r="C22" s="2"/>
      <c r="D22" s="2">
        <v>0</v>
      </c>
      <c r="E22" s="2">
        <f>D23</f>
        <v>16708976.02739726</v>
      </c>
      <c r="F22" s="2">
        <f>E23</f>
        <v>24926292.380821917</v>
      </c>
      <c r="G22" s="2">
        <f>F23</f>
        <v>37629500.463474661</v>
      </c>
      <c r="H22" s="2">
        <f>G23</f>
        <v>54545239.2473168</v>
      </c>
    </row>
    <row r="23" spans="1:8" x14ac:dyDescent="0.25">
      <c r="A23" s="2" t="s">
        <v>131</v>
      </c>
      <c r="B23" s="2"/>
      <c r="C23" s="2"/>
      <c r="D23" s="2">
        <f>D21+D22</f>
        <v>16708976.02739726</v>
      </c>
      <c r="E23" s="2">
        <f>E21+E22</f>
        <v>24926292.380821917</v>
      </c>
      <c r="F23" s="2">
        <f>F21+F22</f>
        <v>37629500.463474661</v>
      </c>
      <c r="G23" s="2">
        <f>G21+G22</f>
        <v>54545239.2473168</v>
      </c>
      <c r="H23" s="2">
        <f>H21+H22</f>
        <v>73850965.636757761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A9D4-4CE7-49EF-AAB8-62004033BC6D}">
  <dimension ref="A1:I23"/>
  <sheetViews>
    <sheetView tabSelected="1" topLeftCell="A2" zoomScale="70" zoomScaleNormal="70" workbookViewId="0">
      <selection activeCell="F29" sqref="F29"/>
    </sheetView>
  </sheetViews>
  <sheetFormatPr defaultRowHeight="15" x14ac:dyDescent="0.25"/>
  <cols>
    <col min="1" max="1" width="30.28515625" customWidth="1"/>
    <col min="2" max="2" width="36.28515625" customWidth="1"/>
    <col min="3" max="3" width="6" customWidth="1"/>
    <col min="4" max="8" width="17.85546875" bestFit="1" customWidth="1"/>
  </cols>
  <sheetData>
    <row r="1" spans="1:9" ht="30" x14ac:dyDescent="0.25">
      <c r="A1" s="20" t="s">
        <v>135</v>
      </c>
      <c r="B1" s="23" t="s">
        <v>137</v>
      </c>
      <c r="C1" s="22"/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</row>
    <row r="2" spans="1:9" x14ac:dyDescent="0.25">
      <c r="A2" s="26"/>
      <c r="B2" s="26"/>
      <c r="C2" s="26"/>
      <c r="D2" s="26"/>
      <c r="E2" s="26"/>
      <c r="F2" s="26"/>
      <c r="G2" s="26"/>
      <c r="H2" s="26"/>
    </row>
    <row r="3" spans="1:9" ht="45" x14ac:dyDescent="0.25">
      <c r="A3" s="27" t="s">
        <v>136</v>
      </c>
      <c r="B3" s="28" t="s">
        <v>138</v>
      </c>
      <c r="C3" s="26"/>
      <c r="D3" s="29">
        <v>0</v>
      </c>
      <c r="E3" s="29">
        <f>(IS!E3-IS!D3)/IS!D3</f>
        <v>0.45022047311827951</v>
      </c>
      <c r="F3" s="29">
        <f>(IS!F3-IS!E3)/IS!E3</f>
        <v>0.21356085736136945</v>
      </c>
      <c r="G3" s="29">
        <f>(IS!G3-IS!F3)/IS!F3</f>
        <v>0.18262087166400762</v>
      </c>
      <c r="H3" s="29">
        <f>(IS!H3-IS!G3)/IS!G3</f>
        <v>0.10635548176412589</v>
      </c>
    </row>
    <row r="4" spans="1:9" x14ac:dyDescent="0.25">
      <c r="A4" s="26"/>
      <c r="B4" s="26"/>
      <c r="C4" s="26"/>
      <c r="D4" s="26"/>
      <c r="E4" s="26"/>
      <c r="F4" s="26"/>
      <c r="G4" s="26"/>
      <c r="H4" s="26"/>
    </row>
    <row r="5" spans="1:9" x14ac:dyDescent="0.25">
      <c r="A5" s="27" t="s">
        <v>139</v>
      </c>
      <c r="B5" s="28" t="s">
        <v>140</v>
      </c>
      <c r="C5" s="26"/>
      <c r="D5" s="2">
        <f>(BS!D16+BS!D15+BS!D14)/BS!D7</f>
        <v>1131.6381944444445</v>
      </c>
      <c r="E5" s="2">
        <f>(BS!E16+BS!E15+BS!E14)/BS!E7</f>
        <v>1217.524939106936</v>
      </c>
      <c r="F5" s="2">
        <f>(BS!F16+BS!F15+BS!F14)/BS!F7</f>
        <v>1274.5717531841378</v>
      </c>
      <c r="G5" s="2">
        <f>(BS!G16+BS!G15+BS!G14)/BS!G7</f>
        <v>1294.3450289144148</v>
      </c>
      <c r="H5" s="2">
        <f>(BS!H16+BS!H15+BS!H14)/BS!H7</f>
        <v>1260.4554422042631</v>
      </c>
    </row>
    <row r="6" spans="1:9" x14ac:dyDescent="0.25">
      <c r="A6" s="26"/>
      <c r="B6" s="26"/>
      <c r="C6" s="26"/>
      <c r="D6" s="26"/>
      <c r="E6" s="26"/>
      <c r="F6" s="26"/>
      <c r="G6" s="26"/>
      <c r="H6" s="26"/>
    </row>
    <row r="7" spans="1:9" x14ac:dyDescent="0.25">
      <c r="A7" s="27" t="s">
        <v>141</v>
      </c>
      <c r="B7" s="27" t="s">
        <v>142</v>
      </c>
      <c r="C7" s="26"/>
      <c r="D7" s="30">
        <f>(BS!D16+BS!D14)/BS!D7</f>
        <v>935.45069444444448</v>
      </c>
      <c r="E7" s="30">
        <f>(BS!E16+BS!E14)/BS!E7</f>
        <v>1035.5816727378883</v>
      </c>
      <c r="F7" s="30">
        <f>(BS!F16+BS!F14)/BS!F7</f>
        <v>1142.1915710087287</v>
      </c>
      <c r="G7" s="30">
        <f>(BS!G16+BS!G14)/BS!G7</f>
        <v>1214.7745063046843</v>
      </c>
      <c r="H7" s="30">
        <f>(BS!H16+BS!H14)/BS!H7</f>
        <v>1209.797675243286</v>
      </c>
    </row>
    <row r="8" spans="1:9" x14ac:dyDescent="0.25">
      <c r="A8" s="26"/>
      <c r="B8" s="26"/>
      <c r="C8" s="26"/>
      <c r="D8" s="26"/>
      <c r="E8" s="26"/>
      <c r="F8" s="26"/>
      <c r="G8" s="26"/>
      <c r="H8" s="26"/>
    </row>
    <row r="9" spans="1:9" x14ac:dyDescent="0.25">
      <c r="A9" s="27" t="s">
        <v>143</v>
      </c>
      <c r="B9" s="31" t="s">
        <v>144</v>
      </c>
      <c r="C9" s="26"/>
      <c r="D9" s="32">
        <f>IS!D12/(BS!D4+BS!D5+BS!D6)</f>
        <v>0.36854591726696284</v>
      </c>
      <c r="E9" s="32">
        <f>IS!E12/(BS!E4+BS!E5+BS!E6)</f>
        <v>0.42485467236814234</v>
      </c>
      <c r="F9" s="32">
        <f>IS!F12/(BS!F4+BS!F5+BS!F6)</f>
        <v>0.39569197337725764</v>
      </c>
      <c r="G9" s="32">
        <f>IS!G12/(BS!G4+BS!G5+BS!G6)</f>
        <v>0.36385463846911742</v>
      </c>
      <c r="H9" s="32">
        <f>IS!H12/(BS!H4+BS!H5+BS!H6)</f>
        <v>0.32027086103815383</v>
      </c>
      <c r="I9" s="32"/>
    </row>
    <row r="10" spans="1:9" x14ac:dyDescent="0.25">
      <c r="A10" s="26"/>
      <c r="B10" s="26"/>
      <c r="C10" s="26"/>
      <c r="D10" s="26"/>
      <c r="E10" s="26"/>
      <c r="F10" s="26"/>
      <c r="G10" s="26"/>
      <c r="H10" s="26"/>
    </row>
    <row r="11" spans="1:9" x14ac:dyDescent="0.25">
      <c r="A11" s="27" t="s">
        <v>145</v>
      </c>
      <c r="B11" s="31" t="s">
        <v>146</v>
      </c>
      <c r="C11" s="26"/>
      <c r="D11" s="32">
        <f>IS!D18/(BS!D4+BS!D5)</f>
        <v>0.29188500212434498</v>
      </c>
      <c r="E11" s="32">
        <f>IS!E18/(BS!E4+BS!E5)</f>
        <v>0.3280921060209756</v>
      </c>
      <c r="F11" s="32">
        <f>IS!F18/(BS!F4+BS!F5)</f>
        <v>0.30035896638236248</v>
      </c>
      <c r="G11" s="32">
        <f>IS!G18/(BS!G4+BS!G5)</f>
        <v>0.27363965366122556</v>
      </c>
      <c r="H11" s="32">
        <f>IS!H18/(BS!H4+BS!H5)</f>
        <v>0.23965160856299228</v>
      </c>
    </row>
    <row r="12" spans="1:9" x14ac:dyDescent="0.25">
      <c r="A12" s="26"/>
      <c r="B12" s="26"/>
      <c r="C12" s="26"/>
      <c r="D12" s="26"/>
      <c r="E12" s="26"/>
      <c r="F12" s="26"/>
      <c r="G12" s="26"/>
      <c r="H12" s="26"/>
    </row>
    <row r="13" spans="1:9" x14ac:dyDescent="0.25">
      <c r="A13" s="27" t="s">
        <v>147</v>
      </c>
      <c r="B13" s="31" t="s">
        <v>148</v>
      </c>
      <c r="C13" s="26"/>
      <c r="D13" s="32">
        <f>IS!D18/BS!D18</f>
        <v>0.26647730929112606</v>
      </c>
      <c r="E13" s="32">
        <f>IS!E18/BS!E18</f>
        <v>0.31293965007008723</v>
      </c>
      <c r="F13" s="32">
        <f>IS!F18/BS!F18</f>
        <v>0.29361096425727817</v>
      </c>
      <c r="G13" s="32">
        <f>IS!G18/BS!G18</f>
        <v>0.2712441174919572</v>
      </c>
      <c r="H13" s="32">
        <f>IS!H18/BS!H18</f>
        <v>0.23946270641252604</v>
      </c>
    </row>
    <row r="14" spans="1:9" x14ac:dyDescent="0.25">
      <c r="A14" s="26"/>
      <c r="B14" s="26"/>
      <c r="C14" s="26"/>
      <c r="D14" s="26"/>
      <c r="E14" s="26"/>
      <c r="F14" s="26"/>
      <c r="G14" s="26"/>
      <c r="H14" s="26"/>
    </row>
    <row r="15" spans="1:9" x14ac:dyDescent="0.25">
      <c r="A15" s="27" t="s">
        <v>150</v>
      </c>
      <c r="B15" s="27" t="s">
        <v>149</v>
      </c>
      <c r="C15" s="26"/>
      <c r="D15" s="2">
        <f>IS!D4/BS!D15</f>
        <v>2.7209302325581395</v>
      </c>
      <c r="E15" s="2">
        <f>IS!E4/BS!E15</f>
        <v>2.9555190685872081</v>
      </c>
      <c r="F15" s="2">
        <f>IS!F4/BS!F15</f>
        <v>3.4286130232582992</v>
      </c>
      <c r="G15" s="2">
        <f>IS!G4/BS!G15</f>
        <v>4.6913486307758845</v>
      </c>
      <c r="H15" s="2">
        <f>IS!H4/BS!H15</f>
        <v>5.6666666666666696</v>
      </c>
    </row>
    <row r="16" spans="1:9" x14ac:dyDescent="0.25">
      <c r="A16" s="26"/>
      <c r="B16" s="26"/>
      <c r="C16" s="26"/>
      <c r="D16" s="26"/>
      <c r="E16" s="26"/>
      <c r="F16" s="26"/>
      <c r="G16" s="26"/>
      <c r="H16" s="26"/>
    </row>
    <row r="17" spans="1:8" x14ac:dyDescent="0.25">
      <c r="A17" s="27" t="s">
        <v>151</v>
      </c>
      <c r="B17" s="27" t="s">
        <v>152</v>
      </c>
      <c r="C17" s="26"/>
      <c r="D17" s="2">
        <f>IS!D3/BS!D14</f>
        <v>12</v>
      </c>
      <c r="E17" s="2">
        <f>IS!E3/BS!E14</f>
        <v>12</v>
      </c>
      <c r="F17" s="2">
        <f>IS!F3/BS!F14</f>
        <v>12</v>
      </c>
      <c r="G17" s="2">
        <f>IS!G3/BS!G14</f>
        <v>12</v>
      </c>
      <c r="H17" s="2">
        <f>IS!H3/BS!H14</f>
        <v>12</v>
      </c>
    </row>
    <row r="18" spans="1:8" x14ac:dyDescent="0.25">
      <c r="A18" s="26"/>
      <c r="B18" s="26"/>
      <c r="C18" s="26"/>
      <c r="D18" s="26"/>
      <c r="E18" s="26"/>
      <c r="F18" s="26"/>
      <c r="G18" s="26"/>
      <c r="H18" s="26"/>
    </row>
    <row r="19" spans="1:8" x14ac:dyDescent="0.25">
      <c r="A19" s="27" t="s">
        <v>153</v>
      </c>
      <c r="B19" s="31" t="s">
        <v>156</v>
      </c>
      <c r="C19" s="26"/>
      <c r="D19" s="32">
        <f>IS!D18/IS!D3</f>
        <v>0.29548387096774192</v>
      </c>
      <c r="E19" s="32">
        <f>IS!E18/IS!E3</f>
        <v>0.3408584034554113</v>
      </c>
      <c r="F19" s="32">
        <f>IS!F18/IS!F3</f>
        <v>0.36752085864408596</v>
      </c>
      <c r="G19" s="32">
        <f>IS!G18/IS!G3</f>
        <v>0.38978287712631665</v>
      </c>
      <c r="H19" s="32">
        <f>IS!H18/IS!H3</f>
        <v>0.40580439820455866</v>
      </c>
    </row>
    <row r="20" spans="1:8" x14ac:dyDescent="0.25">
      <c r="A20" s="26"/>
      <c r="B20" s="26"/>
      <c r="C20" s="26"/>
      <c r="D20" s="26"/>
      <c r="E20" s="26"/>
      <c r="F20" s="26"/>
      <c r="G20" s="26"/>
      <c r="H20" s="26"/>
    </row>
    <row r="21" spans="1:8" x14ac:dyDescent="0.25">
      <c r="A21" s="27" t="s">
        <v>154</v>
      </c>
      <c r="B21" s="33" t="s">
        <v>158</v>
      </c>
      <c r="C21" s="26"/>
      <c r="D21" s="32">
        <f>IS!D9/IS!D3</f>
        <v>0.41405017921146953</v>
      </c>
      <c r="E21" s="32">
        <f>IS!E9/IS!E3</f>
        <v>0.46586657343221283</v>
      </c>
      <c r="F21" s="32">
        <f>IS!F9/IS!F3</f>
        <v>0.49743898594010366</v>
      </c>
      <c r="G21" s="32">
        <f>IS!G9/IS!G3</f>
        <v>0.52434352403813489</v>
      </c>
      <c r="H21" s="32">
        <f>IS!H9/IS!H3</f>
        <v>0.54381128067433859</v>
      </c>
    </row>
    <row r="22" spans="1:8" x14ac:dyDescent="0.25">
      <c r="A22" s="26"/>
      <c r="B22" s="26"/>
      <c r="C22" s="26"/>
      <c r="D22" s="26"/>
      <c r="E22" s="26"/>
      <c r="F22" s="26"/>
      <c r="G22" s="26"/>
      <c r="H22" s="26"/>
    </row>
    <row r="23" spans="1:8" x14ac:dyDescent="0.25">
      <c r="A23" s="27" t="s">
        <v>155</v>
      </c>
      <c r="B23" s="33" t="s">
        <v>157</v>
      </c>
      <c r="C23" s="26"/>
      <c r="D23" s="34">
        <f>IS!D12/IS!D3</f>
        <v>0.40831541218637996</v>
      </c>
      <c r="E23" s="34">
        <f>IS!E12/IS!E3</f>
        <v>0.46238669221716722</v>
      </c>
      <c r="F23" s="34">
        <f>IS!F12/IS!F3</f>
        <v>0.49491558923472673</v>
      </c>
      <c r="G23" s="34">
        <f>IS!G12/IS!G3</f>
        <v>0.5224658393515732</v>
      </c>
      <c r="H23" s="34">
        <f>IS!H12/IS!H3</f>
        <v>0.54231776204365434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</vt:lpstr>
      <vt:lpstr>IS</vt:lpstr>
      <vt:lpstr>BS</vt:lpstr>
      <vt:lpstr>CF</vt:lpstr>
      <vt:lpstr>Ratio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sharma</dc:creator>
  <cp:lastModifiedBy>yash sharma</cp:lastModifiedBy>
  <dcterms:created xsi:type="dcterms:W3CDTF">2023-09-19T08:39:59Z</dcterms:created>
  <dcterms:modified xsi:type="dcterms:W3CDTF">2023-09-28T08:47:04Z</dcterms:modified>
</cp:coreProperties>
</file>