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Yashwanth\9. My Folders\"/>
    </mc:Choice>
  </mc:AlternateContent>
  <bookViews>
    <workbookView xWindow="0" yWindow="0" windowWidth="20490" windowHeight="7755" activeTab="5"/>
  </bookViews>
  <sheets>
    <sheet name="Payslip" sheetId="1" r:id="rId1"/>
    <sheet name="Sheet2" sheetId="2" state="hidden" r:id="rId2"/>
    <sheet name="Calculation" sheetId="4" r:id="rId3"/>
    <sheet name="Savings 1" sheetId="3" r:id="rId4"/>
    <sheet name="Savings 2" sheetId="5" r:id="rId5"/>
    <sheet name="PL" sheetId="8" r:id="rId6"/>
    <sheet name="HDFC" sheetId="7" r:id="rId7"/>
    <sheet name="SIS Wedding" sheetId="6" r:id="rId8"/>
  </sheets>
  <calcPr calcId="152511"/>
</workbook>
</file>

<file path=xl/calcChain.xml><?xml version="1.0" encoding="utf-8"?>
<calcChain xmlns="http://schemas.openxmlformats.org/spreadsheetml/2006/main">
  <c r="Q15" i="8" l="1"/>
  <c r="N15" i="8"/>
  <c r="K15" i="8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I15" i="8"/>
  <c r="F15" i="8"/>
  <c r="L15" i="6"/>
  <c r="L15" i="8" l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E23" i="6"/>
  <c r="K18" i="6" s="1"/>
  <c r="M25" i="6" l="1"/>
  <c r="M24" i="6"/>
  <c r="K24" i="6"/>
  <c r="K25" i="6" l="1"/>
  <c r="L25" i="6"/>
  <c r="L24" i="6"/>
  <c r="Q14" i="8" l="1"/>
  <c r="Q13" i="8"/>
  <c r="Q12" i="8"/>
  <c r="Q11" i="8"/>
  <c r="Q10" i="8"/>
  <c r="Q9" i="8"/>
  <c r="Q8" i="8"/>
  <c r="Q7" i="8"/>
  <c r="Q6" i="8"/>
  <c r="Q5" i="8"/>
  <c r="Q4" i="8"/>
  <c r="Q3" i="8"/>
  <c r="N14" i="8"/>
  <c r="N13" i="8"/>
  <c r="N12" i="8"/>
  <c r="N11" i="8"/>
  <c r="N10" i="8"/>
  <c r="N9" i="8"/>
  <c r="N8" i="8"/>
  <c r="N7" i="8"/>
  <c r="N6" i="8"/>
  <c r="N5" i="8"/>
  <c r="N4" i="8"/>
  <c r="N3" i="8"/>
  <c r="K14" i="8"/>
  <c r="K13" i="8"/>
  <c r="K12" i="8"/>
  <c r="K11" i="8"/>
  <c r="K10" i="8"/>
  <c r="K9" i="8"/>
  <c r="K8" i="8"/>
  <c r="K7" i="8"/>
  <c r="K6" i="8"/>
  <c r="K5" i="8"/>
  <c r="K4" i="8"/>
  <c r="K3" i="8"/>
  <c r="H14" i="8"/>
  <c r="H13" i="8"/>
  <c r="H12" i="8"/>
  <c r="H11" i="8"/>
  <c r="H10" i="8"/>
  <c r="H9" i="8"/>
  <c r="H8" i="8"/>
  <c r="H7" i="8"/>
  <c r="H6" i="8"/>
  <c r="H5" i="8"/>
  <c r="H4" i="8"/>
  <c r="H3" i="8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D1" i="8"/>
  <c r="H15" i="8" l="1"/>
  <c r="M15" i="8"/>
  <c r="X21" i="5"/>
  <c r="X20" i="5"/>
  <c r="X24" i="5" l="1"/>
  <c r="X23" i="5"/>
  <c r="Y14" i="5"/>
  <c r="Y13" i="5"/>
  <c r="V19" i="5" l="1"/>
  <c r="V15" i="5" l="1"/>
  <c r="V22" i="5"/>
  <c r="X13" i="5" s="1"/>
  <c r="X14" i="5" s="1"/>
  <c r="S24" i="5"/>
  <c r="V21" i="5"/>
  <c r="X15" i="5" l="1"/>
  <c r="V23" i="5"/>
  <c r="N6" i="7"/>
  <c r="N7" i="7" s="1"/>
  <c r="O6" i="7"/>
  <c r="O7" i="7" s="1"/>
  <c r="O8" i="7" s="1"/>
  <c r="P6" i="7"/>
  <c r="P7" i="7" s="1"/>
  <c r="M6" i="7"/>
  <c r="M7" i="7" s="1"/>
  <c r="M8" i="7" s="1"/>
  <c r="N5" i="7"/>
  <c r="O5" i="7"/>
  <c r="P5" i="7"/>
  <c r="M5" i="7"/>
  <c r="N3" i="7"/>
  <c r="O3" i="7"/>
  <c r="P3" i="7"/>
  <c r="P4" i="7" s="1"/>
  <c r="M3" i="7"/>
  <c r="O4" i="7"/>
  <c r="N4" i="7"/>
  <c r="M4" i="7"/>
  <c r="H11" i="7"/>
  <c r="H10" i="7"/>
  <c r="H6" i="7"/>
  <c r="H7" i="7" s="1"/>
  <c r="H8" i="7" s="1"/>
  <c r="T30" i="5"/>
  <c r="T31" i="5" s="1"/>
  <c r="U30" i="5"/>
  <c r="U31" i="5" s="1"/>
  <c r="V30" i="5"/>
  <c r="V31" i="5" s="1"/>
  <c r="S30" i="5"/>
  <c r="S31" i="5" s="1"/>
  <c r="T27" i="5"/>
  <c r="T28" i="5" s="1"/>
  <c r="U27" i="5"/>
  <c r="U28" i="5" s="1"/>
  <c r="V27" i="5"/>
  <c r="V28" i="5" s="1"/>
  <c r="S27" i="5"/>
  <c r="S28" i="5" s="1"/>
  <c r="N8" i="7" l="1"/>
  <c r="P8" i="7"/>
  <c r="S17" i="5"/>
  <c r="S16" i="5"/>
  <c r="K20" i="5"/>
  <c r="L20" i="5"/>
  <c r="M20" i="5"/>
  <c r="N20" i="5"/>
  <c r="J20" i="5"/>
  <c r="D20" i="5"/>
  <c r="E20" i="5"/>
  <c r="F20" i="5"/>
  <c r="G20" i="5"/>
  <c r="H20" i="5"/>
  <c r="I20" i="5"/>
  <c r="C20" i="5"/>
  <c r="N21" i="5"/>
  <c r="I21" i="5"/>
  <c r="J21" i="5"/>
  <c r="K21" i="5"/>
  <c r="L21" i="5"/>
  <c r="M21" i="5"/>
  <c r="H21" i="5"/>
  <c r="S12" i="5"/>
  <c r="S13" i="5" s="1"/>
  <c r="M12" i="7" s="1"/>
  <c r="S14" i="5" l="1"/>
  <c r="T29" i="5"/>
  <c r="T32" i="5" s="1"/>
  <c r="U29" i="5"/>
  <c r="U32" i="5" s="1"/>
  <c r="V29" i="5"/>
  <c r="V32" i="5" s="1"/>
  <c r="S29" i="5"/>
  <c r="S32" i="5" s="1"/>
  <c r="N9" i="6"/>
  <c r="N8" i="6"/>
  <c r="N4" i="6"/>
  <c r="N5" i="6"/>
  <c r="N6" i="6"/>
  <c r="N7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I25" i="5"/>
  <c r="J25" i="5"/>
  <c r="K25" i="5"/>
  <c r="L25" i="5"/>
  <c r="H25" i="5"/>
  <c r="J27" i="5"/>
  <c r="K27" i="5"/>
  <c r="L27" i="5"/>
  <c r="M27" i="5"/>
  <c r="N27" i="5"/>
  <c r="I27" i="5"/>
  <c r="I26" i="5"/>
  <c r="J26" i="5"/>
  <c r="K26" i="5"/>
  <c r="L26" i="5"/>
  <c r="M26" i="5"/>
  <c r="N26" i="5"/>
  <c r="H26" i="5"/>
  <c r="G25" i="5"/>
  <c r="D25" i="5"/>
  <c r="C25" i="5"/>
  <c r="N24" i="5"/>
  <c r="M24" i="5"/>
  <c r="L24" i="5"/>
  <c r="K24" i="5"/>
  <c r="J24" i="5"/>
  <c r="I24" i="5"/>
  <c r="H24" i="5"/>
  <c r="G24" i="5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C22" i="5"/>
  <c r="D22" i="5" s="1"/>
  <c r="G21" i="5"/>
  <c r="F21" i="5"/>
  <c r="E21" i="5"/>
  <c r="D21" i="5"/>
  <c r="C21" i="5"/>
  <c r="N25" i="6" l="1"/>
  <c r="O25" i="6"/>
  <c r="N30" i="5"/>
  <c r="E22" i="5"/>
  <c r="E30" i="5" s="1"/>
  <c r="E31" i="5" s="1"/>
  <c r="E32" i="5" s="1"/>
  <c r="F22" i="5"/>
  <c r="F30" i="5" s="1"/>
  <c r="F31" i="5" s="1"/>
  <c r="F32" i="5" s="1"/>
  <c r="M30" i="5"/>
  <c r="L30" i="5"/>
  <c r="N24" i="6"/>
  <c r="I30" i="5"/>
  <c r="J30" i="5"/>
  <c r="C30" i="5"/>
  <c r="C31" i="5" s="1"/>
  <c r="C32" i="5" s="1"/>
  <c r="G30" i="5"/>
  <c r="G31" i="5" s="1"/>
  <c r="G32" i="5" s="1"/>
  <c r="K30" i="5"/>
  <c r="D30" i="5"/>
  <c r="D31" i="5" s="1"/>
  <c r="D32" i="5" s="1"/>
  <c r="H30" i="5"/>
  <c r="G17" i="4"/>
  <c r="G16" i="4"/>
  <c r="G15" i="4"/>
  <c r="E17" i="4"/>
  <c r="E16" i="4"/>
  <c r="E15" i="4"/>
  <c r="E10" i="4"/>
  <c r="E9" i="4"/>
  <c r="C8" i="4"/>
  <c r="D26" i="3" l="1"/>
  <c r="D22" i="3"/>
  <c r="G26" i="3"/>
  <c r="H26" i="3"/>
  <c r="I26" i="3"/>
  <c r="J26" i="3"/>
  <c r="K26" i="3"/>
  <c r="L26" i="3"/>
  <c r="M26" i="3"/>
  <c r="N26" i="3"/>
  <c r="C26" i="3"/>
  <c r="D25" i="3"/>
  <c r="E25" i="3"/>
  <c r="F25" i="3"/>
  <c r="G25" i="3"/>
  <c r="H25" i="3"/>
  <c r="I25" i="3"/>
  <c r="J25" i="3"/>
  <c r="K25" i="3"/>
  <c r="L25" i="3"/>
  <c r="M25" i="3"/>
  <c r="N25" i="3"/>
  <c r="C25" i="3"/>
  <c r="D24" i="3"/>
  <c r="E24" i="3"/>
  <c r="F24" i="3"/>
  <c r="G24" i="3"/>
  <c r="H24" i="3"/>
  <c r="I24" i="3"/>
  <c r="J24" i="3"/>
  <c r="K24" i="3"/>
  <c r="L24" i="3"/>
  <c r="M24" i="3"/>
  <c r="N24" i="3"/>
  <c r="C24" i="3"/>
  <c r="H23" i="3"/>
  <c r="I23" i="3"/>
  <c r="J23" i="3"/>
  <c r="K23" i="3"/>
  <c r="L23" i="3"/>
  <c r="M23" i="3"/>
  <c r="N23" i="3"/>
  <c r="G23" i="3"/>
  <c r="C23" i="3"/>
  <c r="D23" i="3" s="1"/>
  <c r="E22" i="3"/>
  <c r="F22" i="3"/>
  <c r="G22" i="3"/>
  <c r="H22" i="3"/>
  <c r="I22" i="3"/>
  <c r="J22" i="3"/>
  <c r="K22" i="3"/>
  <c r="L22" i="3"/>
  <c r="M22" i="3"/>
  <c r="N22" i="3"/>
  <c r="C22" i="3"/>
  <c r="C21" i="3"/>
  <c r="F21" i="3" s="1"/>
  <c r="D21" i="3"/>
  <c r="C14" i="2"/>
  <c r="D14" i="2" s="1"/>
  <c r="C13" i="2"/>
  <c r="D13" i="2" s="1"/>
  <c r="C12" i="2"/>
  <c r="D12" i="2" s="1"/>
  <c r="D11" i="2"/>
  <c r="C11" i="2"/>
  <c r="C10" i="2"/>
  <c r="D10" i="2" s="1"/>
  <c r="D9" i="2"/>
  <c r="D8" i="2"/>
  <c r="D7" i="2"/>
  <c r="D6" i="2"/>
  <c r="D5" i="2"/>
  <c r="D4" i="2"/>
  <c r="D3" i="2"/>
  <c r="O6" i="1"/>
  <c r="L6" i="1"/>
  <c r="L7" i="1"/>
  <c r="L8" i="1"/>
  <c r="L9" i="1"/>
  <c r="L10" i="1"/>
  <c r="L5" i="1"/>
  <c r="L11" i="1" s="1"/>
  <c r="M11" i="1" s="1"/>
  <c r="E6" i="1"/>
  <c r="E7" i="1"/>
  <c r="E8" i="1"/>
  <c r="E9" i="1"/>
  <c r="E5" i="1"/>
  <c r="E10" i="1" s="1"/>
  <c r="H10" i="1" s="1"/>
  <c r="H12" i="1" s="1"/>
  <c r="C12" i="1"/>
  <c r="C10" i="1"/>
  <c r="D15" i="2" l="1"/>
  <c r="E15" i="2" s="1"/>
  <c r="L21" i="3"/>
  <c r="C28" i="3"/>
  <c r="C29" i="3" s="1"/>
  <c r="C30" i="3" s="1"/>
  <c r="G21" i="3"/>
  <c r="G28" i="3" s="1"/>
  <c r="G29" i="3" s="1"/>
  <c r="G30" i="3" s="1"/>
  <c r="H21" i="3"/>
  <c r="H28" i="3" s="1"/>
  <c r="H29" i="3" s="1"/>
  <c r="H30" i="3" s="1"/>
  <c r="E23" i="3"/>
  <c r="L28" i="3"/>
  <c r="L29" i="3" s="1"/>
  <c r="L30" i="3" s="1"/>
  <c r="K21" i="3"/>
  <c r="K28" i="3" s="1"/>
  <c r="K29" i="3" s="1"/>
  <c r="K30" i="3" s="1"/>
  <c r="F23" i="3"/>
  <c r="F28" i="3" s="1"/>
  <c r="F29" i="3" s="1"/>
  <c r="F30" i="3" s="1"/>
  <c r="D28" i="3"/>
  <c r="D29" i="3" s="1"/>
  <c r="D30" i="3" s="1"/>
  <c r="M21" i="3"/>
  <c r="M28" i="3" s="1"/>
  <c r="M29" i="3" s="1"/>
  <c r="M30" i="3" s="1"/>
  <c r="I21" i="3"/>
  <c r="I28" i="3" s="1"/>
  <c r="I29" i="3" s="1"/>
  <c r="I30" i="3" s="1"/>
  <c r="E21" i="3"/>
  <c r="E28" i="3" s="1"/>
  <c r="E29" i="3" s="1"/>
  <c r="E30" i="3" s="1"/>
  <c r="N21" i="3"/>
  <c r="N28" i="3" s="1"/>
  <c r="N29" i="3" s="1"/>
  <c r="N30" i="3" s="1"/>
  <c r="J21" i="3"/>
  <c r="J28" i="3" s="1"/>
  <c r="J29" i="3" s="1"/>
  <c r="J30" i="3" s="1"/>
  <c r="C15" i="2"/>
  <c r="D88" i="8" l="1"/>
  <c r="E88" i="8" s="1"/>
  <c r="C125" i="8"/>
  <c r="D125" i="8" s="1"/>
  <c r="E125" i="8" s="1"/>
</calcChain>
</file>

<file path=xl/sharedStrings.xml><?xml version="1.0" encoding="utf-8"?>
<sst xmlns="http://schemas.openxmlformats.org/spreadsheetml/2006/main" count="259" uniqueCount="143">
  <si>
    <t>Basic</t>
  </si>
  <si>
    <t>HRA</t>
  </si>
  <si>
    <t>Cony</t>
  </si>
  <si>
    <t>PF Employer</t>
  </si>
  <si>
    <t>Special Allow</t>
  </si>
  <si>
    <t>Fixed CTC</t>
  </si>
  <si>
    <t>Bonus</t>
  </si>
  <si>
    <t>Total CTC</t>
  </si>
  <si>
    <t>ANNUM</t>
  </si>
  <si>
    <t>Month</t>
  </si>
  <si>
    <t>TH</t>
  </si>
  <si>
    <t>TDS</t>
  </si>
  <si>
    <t>LTA</t>
  </si>
  <si>
    <t>MR</t>
  </si>
  <si>
    <t>TR</t>
  </si>
  <si>
    <t>BP</t>
  </si>
  <si>
    <t>Car</t>
  </si>
  <si>
    <t>Driver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</si>
  <si>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</si>
  <si>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</si>
  <si>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</si>
  <si>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</si>
  <si>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</si>
  <si>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</si>
  <si>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</si>
  <si>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</si>
  <si>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</si>
  <si>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</si>
  <si>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</si>
  <si>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</si>
  <si>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Savings Account</t>
  </si>
  <si>
    <t>Cheete</t>
  </si>
  <si>
    <t>Vijiya Atte</t>
  </si>
  <si>
    <t>MahaLak Aunt</t>
  </si>
  <si>
    <t>Rent</t>
  </si>
  <si>
    <t>Household</t>
  </si>
  <si>
    <t>Credit card</t>
  </si>
  <si>
    <t>P.Tax</t>
  </si>
  <si>
    <t>PF</t>
  </si>
  <si>
    <t>Take Home</t>
  </si>
  <si>
    <t>Gratutity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</si>
  <si>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</si>
  <si>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</si>
  <si>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</si>
  <si>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</si>
  <si>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</si>
  <si>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</si>
  <si>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</si>
  <si>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</si>
  <si>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</si>
  <si>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</si>
  <si>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</si>
  <si>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Expenses</t>
  </si>
  <si>
    <t>Pocket-1</t>
  </si>
  <si>
    <t>Pocket-2</t>
  </si>
  <si>
    <t>Pocket-3</t>
  </si>
  <si>
    <t>Cermony</t>
  </si>
  <si>
    <t>Credit</t>
  </si>
  <si>
    <t>Fixed</t>
  </si>
  <si>
    <t>Conveyance</t>
  </si>
  <si>
    <t>Braces &amp; Dhanpi</t>
  </si>
  <si>
    <t>Interest</t>
  </si>
  <si>
    <t>Particulars</t>
  </si>
  <si>
    <t>Choultry</t>
  </si>
  <si>
    <t>Flowering</t>
  </si>
  <si>
    <t>Photography</t>
  </si>
  <si>
    <t>Choultry Add</t>
  </si>
  <si>
    <t>Attire &amp; Watch</t>
  </si>
  <si>
    <t>Sarees</t>
  </si>
  <si>
    <t>Total</t>
  </si>
  <si>
    <t>Food Service</t>
  </si>
  <si>
    <t>Provision</t>
  </si>
  <si>
    <t>Leaves &amp; Bottle</t>
  </si>
  <si>
    <t>Extras</t>
  </si>
  <si>
    <t>PL</t>
  </si>
  <si>
    <t>PL Principal</t>
  </si>
  <si>
    <t>ROI</t>
  </si>
  <si>
    <t>EMI</t>
  </si>
  <si>
    <t>Total Paid</t>
  </si>
  <si>
    <t>Tenure</t>
  </si>
  <si>
    <t>Total Interest</t>
  </si>
  <si>
    <t>Days remaining</t>
  </si>
  <si>
    <t>Interest every month</t>
  </si>
  <si>
    <t>Pre closure charge</t>
  </si>
  <si>
    <t># of times partial payment in a year</t>
  </si>
  <si>
    <t>Charges for partial payment in a year</t>
  </si>
  <si>
    <t>Interest on Disbursal</t>
  </si>
  <si>
    <t>Questions</t>
  </si>
  <si>
    <t>Processing fees?</t>
  </si>
  <si>
    <t>Interest upon disbursal?</t>
  </si>
  <si>
    <t>Interest per month</t>
  </si>
  <si>
    <t>Pre closure charges? Partial &amp; Full</t>
  </si>
  <si>
    <t>2 PP</t>
  </si>
  <si>
    <t>PAN</t>
  </si>
  <si>
    <t>3-months payslip</t>
  </si>
  <si>
    <t>local &amp; permanent proof</t>
  </si>
  <si>
    <t>Previous exp letter</t>
  </si>
  <si>
    <t>local &amp; permanent add proof</t>
  </si>
  <si>
    <t>9-cheq of citibank</t>
  </si>
  <si>
    <t>080-30848155</t>
  </si>
  <si>
    <t>90-days citibank statement</t>
  </si>
  <si>
    <t>No partial payment</t>
  </si>
  <si>
    <t>Year-1</t>
  </si>
  <si>
    <t>Year-2</t>
  </si>
  <si>
    <t>Year-3</t>
  </si>
  <si>
    <t>Year-4</t>
  </si>
  <si>
    <t>Loan Interest</t>
  </si>
  <si>
    <t>Inv Interest(Month)</t>
  </si>
  <si>
    <t>Inv Interest(Year)</t>
  </si>
  <si>
    <t>Interest Earned</t>
  </si>
  <si>
    <t>EMI(Month)</t>
  </si>
  <si>
    <t>EMI(Year)</t>
  </si>
  <si>
    <t>Sarah</t>
  </si>
  <si>
    <t>Diff Interest</t>
  </si>
  <si>
    <t># of times partial payment in a year (Tenure decreases)</t>
  </si>
  <si>
    <t>Other charges</t>
  </si>
  <si>
    <t>July EMI</t>
  </si>
  <si>
    <t>Processing Fees(1%)</t>
  </si>
  <si>
    <t>EMI(13789)</t>
  </si>
  <si>
    <t>Service tax(15%)</t>
  </si>
  <si>
    <t>Disbursal Amount</t>
  </si>
  <si>
    <t>Total(490700)</t>
  </si>
  <si>
    <t>Year - 1</t>
  </si>
  <si>
    <t>Year - 2</t>
  </si>
  <si>
    <t>Year - 3</t>
  </si>
  <si>
    <t>Year - 4</t>
  </si>
  <si>
    <t>Nil</t>
  </si>
  <si>
    <t>0 &amp; 2%</t>
  </si>
  <si>
    <t>Yes</t>
  </si>
  <si>
    <t>Invitation Card</t>
  </si>
  <si>
    <t>No</t>
  </si>
  <si>
    <t xml:space="preserve">Gold </t>
  </si>
  <si>
    <t>Engagement</t>
  </si>
  <si>
    <t>With Gold</t>
  </si>
  <si>
    <t>Without Gold</t>
  </si>
  <si>
    <t>Advance</t>
  </si>
  <si>
    <t>Vaalga</t>
  </si>
  <si>
    <t>Water Ritual</t>
  </si>
  <si>
    <t>Ammu Exp</t>
  </si>
  <si>
    <t>Rooms</t>
  </si>
  <si>
    <t>Clothing</t>
  </si>
  <si>
    <t>Paid</t>
  </si>
  <si>
    <t>Silver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</si>
</sst>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₹-4009]\ #,##0.00"/>
    <numFmt numFmtId="165" formatCode="[$₹-4009]\ #,##0"/>
    <numFmt numFmtId="166" formatCode="yyyy\-mm\-dd;@"/>
    <numFmt numFmtId="167" formatCode="[$₹-439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9" xfId="0" applyFill="1" applyBorder="1"/>
    <xf numFmtId="0" fontId="1" fillId="2" borderId="20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" fillId="3" borderId="21" xfId="0" applyFont="1" applyFill="1" applyBorder="1"/>
    <xf numFmtId="0" fontId="0" fillId="3" borderId="1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4" borderId="11" xfId="0" applyFont="1" applyFill="1" applyBorder="1"/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12" xfId="0" applyFont="1" applyFill="1" applyBorder="1"/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4" borderId="14" xfId="0" applyFont="1" applyFill="1" applyBorder="1"/>
    <xf numFmtId="0" fontId="1" fillId="4" borderId="15" xfId="0" applyFont="1" applyFill="1" applyBorder="1"/>
    <xf numFmtId="0" fontId="1" fillId="4" borderId="34" xfId="0" applyFont="1" applyFill="1" applyBorder="1"/>
    <xf numFmtId="0" fontId="0" fillId="2" borderId="29" xfId="0" applyFill="1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5" fillId="2" borderId="4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165" fontId="0" fillId="5" borderId="32" xfId="0" applyNumberFormat="1" applyFill="1" applyBorder="1" applyAlignment="1">
      <alignment horizontal="center" vertical="center"/>
    </xf>
    <xf numFmtId="165" fontId="0" fillId="5" borderId="26" xfId="0" applyNumberFormat="1" applyFill="1" applyBorder="1" applyAlignment="1">
      <alignment horizontal="center" vertical="center"/>
    </xf>
    <xf numFmtId="165" fontId="0" fillId="4" borderId="26" xfId="0" applyNumberFormat="1" applyFill="1" applyBorder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165" fontId="0" fillId="5" borderId="33" xfId="0" applyNumberForma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165" fontId="0" fillId="4" borderId="3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4" xfId="0" applyNumberFormat="1" applyFill="1" applyBorder="1"/>
    <xf numFmtId="165" fontId="0" fillId="2" borderId="15" xfId="0" applyNumberFormat="1" applyFill="1" applyBorder="1"/>
    <xf numFmtId="0" fontId="1" fillId="2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65" fontId="0" fillId="6" borderId="41" xfId="0" applyNumberFormat="1" applyFill="1" applyBorder="1" applyAlignment="1">
      <alignment horizontal="center" vertical="center"/>
    </xf>
    <xf numFmtId="9" fontId="0" fillId="2" borderId="0" xfId="0" applyNumberFormat="1" applyFill="1"/>
    <xf numFmtId="0" fontId="6" fillId="2" borderId="0" xfId="0" applyFont="1" applyFill="1"/>
    <xf numFmtId="0" fontId="0" fillId="2" borderId="0" xfId="0" applyFill="1" applyAlignment="1">
      <alignment horizontal="left" vertical="top" wrapText="1"/>
    </xf>
    <xf numFmtId="0" fontId="1" fillId="2" borderId="0" xfId="0" applyFont="1" applyFill="1"/>
    <xf numFmtId="165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vertical="top" wrapText="1"/>
    </xf>
    <xf numFmtId="0" fontId="6" fillId="2" borderId="2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9" fontId="0" fillId="2" borderId="0" xfId="1" applyFont="1" applyFill="1"/>
    <xf numFmtId="0" fontId="0" fillId="2" borderId="20" xfId="0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8" xfId="0" applyNumberFormat="1" applyFill="1" applyBorder="1" applyAlignment="1">
      <alignment horizontal="center" vertical="center"/>
    </xf>
    <xf numFmtId="166" fontId="0" fillId="2" borderId="0" xfId="0" applyNumberFormat="1" applyFill="1"/>
    <xf numFmtId="0" fontId="0" fillId="2" borderId="0" xfId="0" applyFill="1" applyAlignment="1">
      <alignment horizontal="right"/>
    </xf>
    <xf numFmtId="0" fontId="5" fillId="2" borderId="1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165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167" fontId="0" fillId="6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167" fontId="0" fillId="2" borderId="9" xfId="0" applyNumberFormat="1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 vertical="center"/>
    </xf>
    <xf numFmtId="167" fontId="0" fillId="2" borderId="6" xfId="2" applyNumberFormat="1" applyFont="1" applyFill="1" applyBorder="1" applyAlignment="1">
      <alignment horizontal="center" vertical="center"/>
    </xf>
    <xf numFmtId="167" fontId="0" fillId="2" borderId="9" xfId="2" applyNumberFormat="1" applyFont="1" applyFill="1" applyBorder="1" applyAlignment="1">
      <alignment horizontal="center" vertical="center"/>
    </xf>
    <xf numFmtId="167" fontId="0" fillId="2" borderId="48" xfId="2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O12"/>
  <sheetViews>
    <sheetView zoomScale="80" zoomScaleNormal="80" workbookViewId="0">
      <selection activeCell="E2" sqref="E2"/>
    </sheetView>
  </sheetViews>
  <sheetFormatPr defaultRowHeight="15" x14ac:dyDescent="0.25"/>
  <cols>
    <col min="1" max="1" width="9.140625" style="1"/>
    <col min="2" max="2" width="12.85546875" style="1" bestFit="1" customWidth="1"/>
    <col min="3" max="16384" width="9.140625" style="1"/>
  </cols>
  <sheetData>
    <row r="4" spans="2:15" x14ac:dyDescent="0.25">
      <c r="C4" s="1" t="s">
        <v>8</v>
      </c>
      <c r="E4" s="1" t="s">
        <v>9</v>
      </c>
    </row>
    <row r="5" spans="2:15" x14ac:dyDescent="0.25">
      <c r="B5" s="1" t="s">
        <v>0</v>
      </c>
      <c r="C5" s="1">
        <v>400000</v>
      </c>
      <c r="E5" s="1">
        <f>C5/12</f>
        <v>33333.333333333336</v>
      </c>
      <c r="I5" s="1" t="s">
        <v>12</v>
      </c>
      <c r="J5" s="1">
        <v>200000</v>
      </c>
      <c r="L5" s="1">
        <f>J5/12</f>
        <v>16666.666666666668</v>
      </c>
      <c r="O5" s="1">
        <v>1000000</v>
      </c>
    </row>
    <row r="6" spans="2:15" x14ac:dyDescent="0.25">
      <c r="B6" s="1" t="s">
        <v>1</v>
      </c>
      <c r="C6" s="1">
        <v>160000</v>
      </c>
      <c r="E6" s="1">
        <f t="shared" ref="E6:E9" si="0">C6/12</f>
        <v>13333.333333333334</v>
      </c>
      <c r="I6" s="1" t="s">
        <v>13</v>
      </c>
      <c r="J6" s="1">
        <v>15000</v>
      </c>
      <c r="L6" s="1">
        <f t="shared" ref="L6:L10" si="1">J6/12</f>
        <v>1250</v>
      </c>
      <c r="O6" s="1">
        <f>48000*2</f>
        <v>96000</v>
      </c>
    </row>
    <row r="7" spans="2:15" x14ac:dyDescent="0.25">
      <c r="B7" s="1" t="s">
        <v>2</v>
      </c>
      <c r="C7" s="1">
        <v>19200</v>
      </c>
      <c r="E7" s="1">
        <f t="shared" si="0"/>
        <v>1600</v>
      </c>
      <c r="I7" s="1" t="s">
        <v>14</v>
      </c>
      <c r="J7" s="1">
        <v>30000</v>
      </c>
      <c r="L7" s="1">
        <f t="shared" si="1"/>
        <v>2500</v>
      </c>
    </row>
    <row r="8" spans="2:15" x14ac:dyDescent="0.25">
      <c r="B8" s="1" t="s">
        <v>3</v>
      </c>
      <c r="C8" s="1">
        <v>48000</v>
      </c>
      <c r="E8" s="1">
        <f t="shared" si="0"/>
        <v>4000</v>
      </c>
      <c r="I8" s="1" t="s">
        <v>15</v>
      </c>
      <c r="J8" s="1">
        <v>3100</v>
      </c>
      <c r="L8" s="1">
        <f t="shared" si="1"/>
        <v>258.33333333333331</v>
      </c>
    </row>
    <row r="9" spans="2:15" x14ac:dyDescent="0.25">
      <c r="B9" s="1" t="s">
        <v>4</v>
      </c>
      <c r="C9" s="1">
        <v>372800</v>
      </c>
      <c r="E9" s="1">
        <f t="shared" si="0"/>
        <v>31066.666666666668</v>
      </c>
      <c r="I9" s="1" t="s">
        <v>16</v>
      </c>
      <c r="J9" s="1">
        <v>21000</v>
      </c>
      <c r="L9" s="1">
        <f t="shared" si="1"/>
        <v>1750</v>
      </c>
    </row>
    <row r="10" spans="2:15" x14ac:dyDescent="0.25">
      <c r="B10" s="1" t="s">
        <v>5</v>
      </c>
      <c r="C10" s="1">
        <f>SUM(C5:C9)</f>
        <v>1000000</v>
      </c>
      <c r="E10" s="1">
        <f>SUM(E5:E9)</f>
        <v>83333.333333333343</v>
      </c>
      <c r="G10" s="1" t="s">
        <v>10</v>
      </c>
      <c r="H10" s="1">
        <f>E10-(2*E8)</f>
        <v>75333.333333333343</v>
      </c>
      <c r="I10" s="1" t="s">
        <v>17</v>
      </c>
      <c r="J10" s="1">
        <v>10800</v>
      </c>
      <c r="L10" s="1">
        <f t="shared" si="1"/>
        <v>900</v>
      </c>
    </row>
    <row r="11" spans="2:15" x14ac:dyDescent="0.25">
      <c r="B11" s="1" t="s">
        <v>6</v>
      </c>
      <c r="C11" s="1">
        <v>100000</v>
      </c>
      <c r="G11" s="1" t="s">
        <v>11</v>
      </c>
      <c r="H11" s="1">
        <v>5000</v>
      </c>
      <c r="L11" s="1">
        <f>SUM(L5:L10)</f>
        <v>23325</v>
      </c>
      <c r="M11" s="1">
        <f>E9-L11</f>
        <v>7741.6666666666679</v>
      </c>
    </row>
    <row r="12" spans="2:15" x14ac:dyDescent="0.25">
      <c r="B12" s="1" t="s">
        <v>7</v>
      </c>
      <c r="C12" s="1">
        <f>SUM(C10:C11)</f>
        <v>1100000</v>
      </c>
      <c r="H12" s="1">
        <f>H10-H11</f>
        <v>70333.333333333343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E15"/>
  <sheetViews>
    <sheetView workbookViewId="0">
      <selection activeCell="D15" sqref="D15"/>
    </sheetView>
  </sheetViews>
  <sheetFormatPr defaultRowHeight="15" x14ac:dyDescent="0.25"/>
  <sheetData>
    <row r="3" spans="2:5" x14ac:dyDescent="0.25">
      <c r="B3" t="s">
        <v>18</v>
      </c>
      <c r="C3">
        <v>1470</v>
      </c>
      <c r="D3">
        <f>C3+(C3/2)</f>
        <v>2205</v>
      </c>
    </row>
    <row r="4" spans="2:5" x14ac:dyDescent="0.25">
      <c r="B4" t="s">
        <v>19</v>
      </c>
      <c r="C4">
        <v>1921</v>
      </c>
      <c r="D4">
        <f t="shared" ref="D4:D14" si="0">C4+(C4/2)</f>
        <v>2881.5</v>
      </c>
    </row>
    <row r="5" spans="2:5" x14ac:dyDescent="0.25">
      <c r="B5" t="s">
        <v>20</v>
      </c>
      <c r="C5">
        <v>1586</v>
      </c>
      <c r="D5">
        <f t="shared" si="0"/>
        <v>2379</v>
      </c>
    </row>
    <row r="6" spans="2:5" x14ac:dyDescent="0.25">
      <c r="B6" t="s">
        <v>21</v>
      </c>
      <c r="C6">
        <v>1584</v>
      </c>
      <c r="D6">
        <f t="shared" si="0"/>
        <v>2376</v>
      </c>
    </row>
    <row r="7" spans="2:5" x14ac:dyDescent="0.25">
      <c r="B7" t="s">
        <v>22</v>
      </c>
      <c r="C7">
        <v>1581</v>
      </c>
      <c r="D7">
        <f t="shared" si="0"/>
        <v>2371.5</v>
      </c>
    </row>
    <row r="8" spans="2:5" x14ac:dyDescent="0.25">
      <c r="B8" t="s">
        <v>23</v>
      </c>
      <c r="C8">
        <v>1578</v>
      </c>
      <c r="D8">
        <f t="shared" si="0"/>
        <v>2367</v>
      </c>
    </row>
    <row r="9" spans="2:5" x14ac:dyDescent="0.25">
      <c r="B9" t="s">
        <v>24</v>
      </c>
      <c r="C9">
        <v>1578</v>
      </c>
      <c r="D9">
        <f t="shared" si="0"/>
        <v>2367</v>
      </c>
    </row>
    <row r="10" spans="2:5" x14ac:dyDescent="0.25">
      <c r="B10" t="s">
        <v>25</v>
      </c>
      <c r="C10">
        <f>AVERAGE($C$2:$C$8)</f>
        <v>1620</v>
      </c>
      <c r="D10">
        <f t="shared" si="0"/>
        <v>2430</v>
      </c>
    </row>
    <row r="11" spans="2:5" x14ac:dyDescent="0.25">
      <c r="B11" t="s">
        <v>26</v>
      </c>
      <c r="C11">
        <f t="shared" ref="C11:C14" si="1">AVERAGE($C$2:$C$8)</f>
        <v>1620</v>
      </c>
      <c r="D11">
        <f t="shared" si="0"/>
        <v>2430</v>
      </c>
    </row>
    <row r="12" spans="2:5" x14ac:dyDescent="0.25">
      <c r="B12" t="s">
        <v>27</v>
      </c>
      <c r="C12">
        <f t="shared" si="1"/>
        <v>1620</v>
      </c>
      <c r="D12">
        <f t="shared" si="0"/>
        <v>2430</v>
      </c>
    </row>
    <row r="13" spans="2:5" x14ac:dyDescent="0.25">
      <c r="B13" t="s">
        <v>28</v>
      </c>
      <c r="C13">
        <f t="shared" si="1"/>
        <v>1620</v>
      </c>
      <c r="D13">
        <f t="shared" si="0"/>
        <v>2430</v>
      </c>
    </row>
    <row r="14" spans="2:5" x14ac:dyDescent="0.25">
      <c r="B14" t="s">
        <v>29</v>
      </c>
      <c r="C14">
        <f t="shared" si="1"/>
        <v>1620</v>
      </c>
      <c r="D14">
        <f t="shared" si="0"/>
        <v>2430</v>
      </c>
    </row>
    <row r="15" spans="2:5" x14ac:dyDescent="0.25">
      <c r="C15">
        <f>SUM(C3:C14)</f>
        <v>19398</v>
      </c>
      <c r="D15">
        <f>SUM(D3:D14)</f>
        <v>29097</v>
      </c>
      <c r="E15">
        <f>D15/12</f>
        <v>2424.75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17"/>
  <sheetViews>
    <sheetView zoomScale="80" zoomScaleNormal="80" workbookViewId="0">
      <selection activeCell="C5" sqref="C5"/>
    </sheetView>
  </sheetViews>
  <sheetFormatPr defaultRowHeight="15" x14ac:dyDescent="0.25"/>
  <cols>
    <col min="1" max="16384" width="9.140625" style="1"/>
  </cols>
  <sheetData>
    <row r="3" spans="1:13" x14ac:dyDescent="0.25">
      <c r="K3" s="1" t="s">
        <v>58</v>
      </c>
      <c r="M3" s="1">
        <v>83333</v>
      </c>
    </row>
    <row r="4" spans="1:13" x14ac:dyDescent="0.25">
      <c r="C4" s="1">
        <v>1000000</v>
      </c>
      <c r="K4" s="1" t="s">
        <v>0</v>
      </c>
      <c r="M4" s="1">
        <v>33333</v>
      </c>
    </row>
    <row r="5" spans="1:13" x14ac:dyDescent="0.25">
      <c r="A5" s="1">
        <v>13000</v>
      </c>
      <c r="B5" s="1">
        <v>12</v>
      </c>
      <c r="C5" s="1">
        <v>156000</v>
      </c>
      <c r="K5" s="1" t="s">
        <v>1</v>
      </c>
      <c r="M5" s="1">
        <v>13333</v>
      </c>
    </row>
    <row r="6" spans="1:13" x14ac:dyDescent="0.25">
      <c r="C6" s="1">
        <v>50000</v>
      </c>
      <c r="K6" s="1" t="s">
        <v>59</v>
      </c>
      <c r="M6" s="1">
        <v>1600</v>
      </c>
    </row>
    <row r="7" spans="1:13" x14ac:dyDescent="0.25">
      <c r="C7" s="1">
        <v>6800</v>
      </c>
      <c r="G7" s="1">
        <v>4508</v>
      </c>
      <c r="H7" s="1">
        <v>12</v>
      </c>
      <c r="I7" s="1">
        <v>54096</v>
      </c>
      <c r="K7" s="1" t="s">
        <v>38</v>
      </c>
      <c r="M7" s="1">
        <v>4000</v>
      </c>
    </row>
    <row r="8" spans="1:13" x14ac:dyDescent="0.25">
      <c r="C8" s="1">
        <f>C4-SUM(C5:C7)</f>
        <v>787200</v>
      </c>
      <c r="E8" s="1">
        <v>287200</v>
      </c>
    </row>
    <row r="9" spans="1:13" x14ac:dyDescent="0.25">
      <c r="E9" s="1">
        <f>(E8/100)*20</f>
        <v>57440</v>
      </c>
    </row>
    <row r="10" spans="1:13" x14ac:dyDescent="0.25">
      <c r="E10" s="1">
        <f>E9/12</f>
        <v>4786.666666666667</v>
      </c>
    </row>
    <row r="11" spans="1:13" x14ac:dyDescent="0.25">
      <c r="B11" s="1">
        <v>500000</v>
      </c>
    </row>
    <row r="13" spans="1:13" x14ac:dyDescent="0.25">
      <c r="E13" s="1">
        <v>15000</v>
      </c>
      <c r="G13" s="1">
        <v>30000</v>
      </c>
    </row>
    <row r="14" spans="1:13" x14ac:dyDescent="0.25">
      <c r="E14" s="1">
        <v>33000</v>
      </c>
    </row>
    <row r="15" spans="1:13" x14ac:dyDescent="0.25">
      <c r="E15" s="1">
        <f>E8-E13-E14</f>
        <v>239200</v>
      </c>
      <c r="G15" s="1">
        <f>G13+E15</f>
        <v>269200</v>
      </c>
    </row>
    <row r="16" spans="1:13" x14ac:dyDescent="0.25">
      <c r="E16" s="1">
        <f>(E15/100)*20</f>
        <v>47840</v>
      </c>
      <c r="G16" s="1">
        <f>(G15/100)*20</f>
        <v>53840</v>
      </c>
    </row>
    <row r="17" spans="5:7" x14ac:dyDescent="0.25">
      <c r="E17" s="1">
        <f>E16/12</f>
        <v>3986.6666666666665</v>
      </c>
      <c r="G17" s="1">
        <f>G16/12</f>
        <v>4486.666666666667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S30"/>
  <sheetViews>
    <sheetView topLeftCell="A5" zoomScale="80" zoomScaleNormal="80" workbookViewId="0">
      <selection activeCell="O15" sqref="O15"/>
    </sheetView>
  </sheetViews>
  <sheetFormatPr defaultRowHeight="15" x14ac:dyDescent="0.25"/>
  <cols>
    <col min="1" max="1" width="9.140625" style="1"/>
    <col min="2" max="2" width="15.140625" style="1" bestFit="1" customWidth="1"/>
    <col min="3" max="3" width="9.140625" style="1"/>
    <col min="4" max="4" width="12.85546875" style="1" bestFit="1" customWidth="1"/>
    <col min="5" max="16384" width="9.140625" style="1"/>
  </cols>
  <sheetData>
    <row r="1" spans="4:19" ht="15.75" thickBot="1" x14ac:dyDescent="0.3">
      <c r="J1" s="2"/>
      <c r="K1" s="2"/>
      <c r="L1" s="2"/>
      <c r="M1" s="2"/>
      <c r="N1" s="2"/>
      <c r="O1" s="2"/>
    </row>
    <row r="2" spans="4:19" x14ac:dyDescent="0.25">
      <c r="J2" s="117" t="s">
        <v>30</v>
      </c>
      <c r="K2" s="118"/>
      <c r="L2" s="118"/>
      <c r="M2" s="118"/>
      <c r="N2" s="118"/>
      <c r="O2" s="119"/>
    </row>
    <row r="3" spans="4:19" x14ac:dyDescent="0.25">
      <c r="J3" s="120"/>
      <c r="K3" s="121"/>
      <c r="L3" s="121"/>
      <c r="M3" s="121"/>
      <c r="N3" s="121"/>
      <c r="O3" s="122"/>
    </row>
    <row r="4" spans="4:19" ht="15.75" thickBot="1" x14ac:dyDescent="0.3">
      <c r="J4" s="123"/>
      <c r="K4" s="124"/>
      <c r="L4" s="124"/>
      <c r="M4" s="124"/>
      <c r="N4" s="124"/>
      <c r="O4" s="125"/>
    </row>
    <row r="7" spans="4:19" ht="15.75" thickBot="1" x14ac:dyDescent="0.3"/>
    <row r="8" spans="4:19" ht="15.75" thickBot="1" x14ac:dyDescent="0.3">
      <c r="D8" s="11"/>
      <c r="E8" s="13" t="s">
        <v>8</v>
      </c>
      <c r="F8" s="12"/>
      <c r="G8" s="17" t="s">
        <v>9</v>
      </c>
    </row>
    <row r="9" spans="4:19" x14ac:dyDescent="0.25">
      <c r="D9" s="8" t="s">
        <v>0</v>
      </c>
      <c r="E9" s="14">
        <v>400000</v>
      </c>
      <c r="F9" s="5"/>
      <c r="G9" s="18">
        <v>33333.333333333336</v>
      </c>
      <c r="I9" s="1" t="s">
        <v>37</v>
      </c>
      <c r="K9" s="1">
        <v>200</v>
      </c>
      <c r="M9" s="1" t="s">
        <v>31</v>
      </c>
      <c r="O9" s="1">
        <v>37000</v>
      </c>
      <c r="R9" s="1" t="s">
        <v>56</v>
      </c>
      <c r="S9" s="1">
        <v>5000</v>
      </c>
    </row>
    <row r="10" spans="4:19" x14ac:dyDescent="0.25">
      <c r="D10" s="9" t="s">
        <v>1</v>
      </c>
      <c r="E10" s="15">
        <v>160000</v>
      </c>
      <c r="F10" s="6"/>
      <c r="G10" s="19">
        <v>13333.333333333334</v>
      </c>
      <c r="I10" s="1" t="s">
        <v>38</v>
      </c>
      <c r="K10" s="1">
        <v>8000</v>
      </c>
      <c r="M10" s="1" t="s">
        <v>32</v>
      </c>
      <c r="O10" s="1">
        <v>5250</v>
      </c>
      <c r="P10" s="1">
        <v>5250</v>
      </c>
      <c r="R10" s="1" t="s">
        <v>57</v>
      </c>
      <c r="S10" s="1">
        <v>5000</v>
      </c>
    </row>
    <row r="11" spans="4:19" x14ac:dyDescent="0.25">
      <c r="D11" s="9" t="s">
        <v>2</v>
      </c>
      <c r="E11" s="15">
        <v>19200</v>
      </c>
      <c r="F11" s="6"/>
      <c r="G11" s="19">
        <v>1600</v>
      </c>
      <c r="I11" s="1" t="s">
        <v>11</v>
      </c>
      <c r="K11" s="1">
        <v>4000</v>
      </c>
      <c r="M11" s="1" t="s">
        <v>33</v>
      </c>
      <c r="O11" s="1">
        <v>5000</v>
      </c>
      <c r="P11" s="1">
        <v>0</v>
      </c>
    </row>
    <row r="12" spans="4:19" x14ac:dyDescent="0.25">
      <c r="D12" s="9" t="s">
        <v>3</v>
      </c>
      <c r="E12" s="15">
        <v>48000</v>
      </c>
      <c r="F12" s="6"/>
      <c r="G12" s="19">
        <v>4000</v>
      </c>
      <c r="I12" s="1" t="s">
        <v>40</v>
      </c>
      <c r="K12" s="1">
        <v>1000</v>
      </c>
      <c r="M12" s="1" t="s">
        <v>34</v>
      </c>
      <c r="O12" s="1">
        <v>2500</v>
      </c>
    </row>
    <row r="13" spans="4:19" x14ac:dyDescent="0.25">
      <c r="D13" s="9" t="s">
        <v>4</v>
      </c>
      <c r="E13" s="15">
        <v>372800</v>
      </c>
      <c r="F13" s="6"/>
      <c r="G13" s="19">
        <v>31066.666666666668</v>
      </c>
      <c r="I13" s="1" t="s">
        <v>39</v>
      </c>
      <c r="K13" s="1">
        <v>67000</v>
      </c>
      <c r="M13" s="1" t="s">
        <v>35</v>
      </c>
      <c r="O13" s="1">
        <v>7000</v>
      </c>
    </row>
    <row r="14" spans="4:19" x14ac:dyDescent="0.25">
      <c r="D14" s="9" t="s">
        <v>5</v>
      </c>
      <c r="E14" s="15">
        <v>1000000</v>
      </c>
      <c r="F14" s="6"/>
      <c r="G14" s="19">
        <v>83333.333333333343</v>
      </c>
      <c r="M14" s="1" t="s">
        <v>36</v>
      </c>
      <c r="O14" s="1">
        <v>700</v>
      </c>
      <c r="P14" s="1">
        <v>0</v>
      </c>
    </row>
    <row r="15" spans="4:19" x14ac:dyDescent="0.25">
      <c r="D15" s="9" t="s">
        <v>6</v>
      </c>
      <c r="E15" s="15">
        <v>100000</v>
      </c>
      <c r="F15" s="6"/>
      <c r="G15" s="3"/>
    </row>
    <row r="16" spans="4:19" ht="15.75" thickBot="1" x14ac:dyDescent="0.3">
      <c r="D16" s="10" t="s">
        <v>7</v>
      </c>
      <c r="E16" s="16">
        <v>1100000</v>
      </c>
      <c r="F16" s="7"/>
      <c r="G16" s="4"/>
    </row>
    <row r="17" spans="2:14" x14ac:dyDescent="0.25">
      <c r="D17" s="21"/>
      <c r="E17" s="22"/>
      <c r="F17" s="23"/>
      <c r="G17" s="23"/>
    </row>
    <row r="18" spans="2:14" ht="15.75" thickBot="1" x14ac:dyDescent="0.3"/>
    <row r="19" spans="2:14" ht="15.75" thickBot="1" x14ac:dyDescent="0.3">
      <c r="B19" s="126" t="s">
        <v>52</v>
      </c>
      <c r="C19" s="17">
        <v>2016</v>
      </c>
      <c r="D19" s="17">
        <v>2016</v>
      </c>
      <c r="E19" s="24">
        <v>2016</v>
      </c>
      <c r="F19" s="17">
        <v>2016</v>
      </c>
      <c r="G19" s="17">
        <v>2016</v>
      </c>
      <c r="H19" s="17">
        <v>2016</v>
      </c>
      <c r="I19" s="17">
        <v>2016</v>
      </c>
      <c r="J19" s="17">
        <v>2016</v>
      </c>
      <c r="K19" s="17">
        <v>2016</v>
      </c>
      <c r="L19" s="17">
        <v>2016</v>
      </c>
      <c r="M19" s="17">
        <v>2016</v>
      </c>
      <c r="N19" s="17">
        <v>2016</v>
      </c>
    </row>
    <row r="20" spans="2:14" ht="15.75" thickBot="1" x14ac:dyDescent="0.3">
      <c r="B20" s="127"/>
      <c r="C20" s="39" t="s">
        <v>41</v>
      </c>
      <c r="D20" s="39" t="s">
        <v>42</v>
      </c>
      <c r="E20" s="40" t="s">
        <v>43</v>
      </c>
      <c r="F20" s="39" t="s">
        <v>44</v>
      </c>
      <c r="G20" s="39" t="s">
        <v>19</v>
      </c>
      <c r="H20" s="25" t="s">
        <v>45</v>
      </c>
      <c r="I20" s="25" t="s">
        <v>46</v>
      </c>
      <c r="J20" s="25" t="s">
        <v>47</v>
      </c>
      <c r="K20" s="25" t="s">
        <v>48</v>
      </c>
      <c r="L20" s="25" t="s">
        <v>49</v>
      </c>
      <c r="M20" s="25" t="s">
        <v>50</v>
      </c>
      <c r="N20" s="25" t="s">
        <v>51</v>
      </c>
    </row>
    <row r="21" spans="2:14" x14ac:dyDescent="0.25">
      <c r="B21" s="27" t="s">
        <v>31</v>
      </c>
      <c r="C21" s="28">
        <f>O9</f>
        <v>37000</v>
      </c>
      <c r="D21" s="29">
        <f>$C$21</f>
        <v>37000</v>
      </c>
      <c r="E21" s="28">
        <f t="shared" ref="E21:N21" si="0">$C$21</f>
        <v>37000</v>
      </c>
      <c r="F21" s="30">
        <f t="shared" si="0"/>
        <v>37000</v>
      </c>
      <c r="G21" s="28">
        <f t="shared" si="0"/>
        <v>37000</v>
      </c>
      <c r="H21" s="28">
        <f t="shared" si="0"/>
        <v>37000</v>
      </c>
      <c r="I21" s="28">
        <f t="shared" si="0"/>
        <v>37000</v>
      </c>
      <c r="J21" s="28">
        <f t="shared" si="0"/>
        <v>37000</v>
      </c>
      <c r="K21" s="28">
        <f t="shared" si="0"/>
        <v>37000</v>
      </c>
      <c r="L21" s="28">
        <f t="shared" si="0"/>
        <v>37000</v>
      </c>
      <c r="M21" s="28">
        <f t="shared" si="0"/>
        <v>37000</v>
      </c>
      <c r="N21" s="28">
        <f t="shared" si="0"/>
        <v>37000</v>
      </c>
    </row>
    <row r="22" spans="2:14" x14ac:dyDescent="0.25">
      <c r="B22" s="31" t="s">
        <v>32</v>
      </c>
      <c r="C22" s="32">
        <f>O10</f>
        <v>5250</v>
      </c>
      <c r="D22" s="33">
        <f>$P$10</f>
        <v>5250</v>
      </c>
      <c r="E22" s="32">
        <f t="shared" ref="E22:N22" si="1">$P$10</f>
        <v>5250</v>
      </c>
      <c r="F22" s="34">
        <f t="shared" si="1"/>
        <v>5250</v>
      </c>
      <c r="G22" s="32">
        <f t="shared" si="1"/>
        <v>5250</v>
      </c>
      <c r="H22" s="32">
        <f t="shared" si="1"/>
        <v>5250</v>
      </c>
      <c r="I22" s="32">
        <f t="shared" si="1"/>
        <v>5250</v>
      </c>
      <c r="J22" s="32">
        <f t="shared" si="1"/>
        <v>5250</v>
      </c>
      <c r="K22" s="32">
        <f t="shared" si="1"/>
        <v>5250</v>
      </c>
      <c r="L22" s="32">
        <f t="shared" si="1"/>
        <v>5250</v>
      </c>
      <c r="M22" s="32">
        <f t="shared" si="1"/>
        <v>5250</v>
      </c>
      <c r="N22" s="32">
        <f t="shared" si="1"/>
        <v>5250</v>
      </c>
    </row>
    <row r="23" spans="2:14" x14ac:dyDescent="0.25">
      <c r="B23" s="31" t="s">
        <v>33</v>
      </c>
      <c r="C23" s="32">
        <f>O11</f>
        <v>5000</v>
      </c>
      <c r="D23" s="33">
        <f>$C$23</f>
        <v>5000</v>
      </c>
      <c r="E23" s="32">
        <f t="shared" ref="E23:F23" si="2">$C$23</f>
        <v>5000</v>
      </c>
      <c r="F23" s="34">
        <f t="shared" si="2"/>
        <v>5000</v>
      </c>
      <c r="G23" s="32">
        <f>$P$11</f>
        <v>0</v>
      </c>
      <c r="H23" s="32">
        <f t="shared" ref="H23:N23" si="3">$P$11</f>
        <v>0</v>
      </c>
      <c r="I23" s="32">
        <f t="shared" si="3"/>
        <v>0</v>
      </c>
      <c r="J23" s="32">
        <f t="shared" si="3"/>
        <v>0</v>
      </c>
      <c r="K23" s="32">
        <f t="shared" si="3"/>
        <v>0</v>
      </c>
      <c r="L23" s="32">
        <f t="shared" si="3"/>
        <v>0</v>
      </c>
      <c r="M23" s="32">
        <f t="shared" si="3"/>
        <v>0</v>
      </c>
      <c r="N23" s="32">
        <f t="shared" si="3"/>
        <v>0</v>
      </c>
    </row>
    <row r="24" spans="2:14" x14ac:dyDescent="0.25">
      <c r="B24" s="31" t="s">
        <v>34</v>
      </c>
      <c r="C24" s="32">
        <f>$O$12</f>
        <v>2500</v>
      </c>
      <c r="D24" s="33">
        <f t="shared" ref="D24:N24" si="4">$O$12</f>
        <v>2500</v>
      </c>
      <c r="E24" s="32">
        <f t="shared" si="4"/>
        <v>2500</v>
      </c>
      <c r="F24" s="34">
        <f t="shared" si="4"/>
        <v>2500</v>
      </c>
      <c r="G24" s="32">
        <f t="shared" si="4"/>
        <v>2500</v>
      </c>
      <c r="H24" s="32">
        <f t="shared" si="4"/>
        <v>2500</v>
      </c>
      <c r="I24" s="32">
        <f t="shared" si="4"/>
        <v>2500</v>
      </c>
      <c r="J24" s="32">
        <f t="shared" si="4"/>
        <v>2500</v>
      </c>
      <c r="K24" s="32">
        <f t="shared" si="4"/>
        <v>2500</v>
      </c>
      <c r="L24" s="32">
        <f t="shared" si="4"/>
        <v>2500</v>
      </c>
      <c r="M24" s="32">
        <f t="shared" si="4"/>
        <v>2500</v>
      </c>
      <c r="N24" s="32">
        <f t="shared" si="4"/>
        <v>2500</v>
      </c>
    </row>
    <row r="25" spans="2:14" x14ac:dyDescent="0.25">
      <c r="B25" s="31" t="s">
        <v>35</v>
      </c>
      <c r="C25" s="32">
        <f>$O$13</f>
        <v>7000</v>
      </c>
      <c r="D25" s="33">
        <f t="shared" ref="D25:N25" si="5">$O$13</f>
        <v>7000</v>
      </c>
      <c r="E25" s="32">
        <f t="shared" si="5"/>
        <v>7000</v>
      </c>
      <c r="F25" s="34">
        <f t="shared" si="5"/>
        <v>7000</v>
      </c>
      <c r="G25" s="32">
        <f t="shared" si="5"/>
        <v>7000</v>
      </c>
      <c r="H25" s="32">
        <f t="shared" si="5"/>
        <v>7000</v>
      </c>
      <c r="I25" s="32">
        <f t="shared" si="5"/>
        <v>7000</v>
      </c>
      <c r="J25" s="32">
        <f t="shared" si="5"/>
        <v>7000</v>
      </c>
      <c r="K25" s="32">
        <f t="shared" si="5"/>
        <v>7000</v>
      </c>
      <c r="L25" s="32">
        <f t="shared" si="5"/>
        <v>7000</v>
      </c>
      <c r="M25" s="32">
        <f t="shared" si="5"/>
        <v>7000</v>
      </c>
      <c r="N25" s="32">
        <f t="shared" si="5"/>
        <v>7000</v>
      </c>
    </row>
    <row r="26" spans="2:14" ht="15.75" thickBot="1" x14ac:dyDescent="0.3">
      <c r="B26" s="35" t="s">
        <v>36</v>
      </c>
      <c r="C26" s="36">
        <f>$O$14</f>
        <v>700</v>
      </c>
      <c r="D26" s="37">
        <f>$O$14</f>
        <v>700</v>
      </c>
      <c r="E26" s="36">
        <v>0</v>
      </c>
      <c r="F26" s="38">
        <v>0</v>
      </c>
      <c r="G26" s="36">
        <f t="shared" ref="G26:N26" si="6">$P$14</f>
        <v>0</v>
      </c>
      <c r="H26" s="36">
        <f t="shared" si="6"/>
        <v>0</v>
      </c>
      <c r="I26" s="36">
        <f t="shared" si="6"/>
        <v>0</v>
      </c>
      <c r="J26" s="36">
        <f t="shared" si="6"/>
        <v>0</v>
      </c>
      <c r="K26" s="36">
        <f t="shared" si="6"/>
        <v>0</v>
      </c>
      <c r="L26" s="36">
        <f t="shared" si="6"/>
        <v>0</v>
      </c>
      <c r="M26" s="36">
        <f t="shared" si="6"/>
        <v>0</v>
      </c>
      <c r="N26" s="36">
        <f t="shared" si="6"/>
        <v>0</v>
      </c>
    </row>
    <row r="27" spans="2:14" ht="15.75" thickBot="1" x14ac:dyDescent="0.3"/>
    <row r="28" spans="2:14" ht="16.5" thickBot="1" x14ac:dyDescent="0.3">
      <c r="B28" s="26" t="s">
        <v>53</v>
      </c>
      <c r="C28" s="20">
        <f>$K$13-SUM(C21:C26)</f>
        <v>9550</v>
      </c>
      <c r="D28" s="20">
        <f t="shared" ref="D28:N28" si="7">$K$13-SUM(D21:D26)</f>
        <v>9550</v>
      </c>
      <c r="E28" s="20">
        <f t="shared" si="7"/>
        <v>10250</v>
      </c>
      <c r="F28" s="20">
        <f t="shared" si="7"/>
        <v>10250</v>
      </c>
      <c r="G28" s="20">
        <f t="shared" si="7"/>
        <v>15250</v>
      </c>
      <c r="H28" s="20">
        <f t="shared" si="7"/>
        <v>15250</v>
      </c>
      <c r="I28" s="20">
        <f t="shared" si="7"/>
        <v>15250</v>
      </c>
      <c r="J28" s="20">
        <f t="shared" si="7"/>
        <v>15250</v>
      </c>
      <c r="K28" s="20">
        <f t="shared" si="7"/>
        <v>15250</v>
      </c>
      <c r="L28" s="20">
        <f t="shared" si="7"/>
        <v>15250</v>
      </c>
      <c r="M28" s="20">
        <f t="shared" si="7"/>
        <v>15250</v>
      </c>
      <c r="N28" s="20">
        <f t="shared" si="7"/>
        <v>15250</v>
      </c>
    </row>
    <row r="29" spans="2:14" ht="16.5" thickBot="1" x14ac:dyDescent="0.3">
      <c r="B29" s="26" t="s">
        <v>54</v>
      </c>
      <c r="C29" s="20">
        <f>C28-$S$9</f>
        <v>4550</v>
      </c>
      <c r="D29" s="20">
        <f t="shared" ref="D29:N29" si="8">D28-$S$9</f>
        <v>4550</v>
      </c>
      <c r="E29" s="20">
        <f t="shared" si="8"/>
        <v>5250</v>
      </c>
      <c r="F29" s="20">
        <f t="shared" si="8"/>
        <v>5250</v>
      </c>
      <c r="G29" s="20">
        <f t="shared" si="8"/>
        <v>10250</v>
      </c>
      <c r="H29" s="20">
        <f t="shared" si="8"/>
        <v>10250</v>
      </c>
      <c r="I29" s="20">
        <f t="shared" si="8"/>
        <v>10250</v>
      </c>
      <c r="J29" s="20">
        <f t="shared" si="8"/>
        <v>10250</v>
      </c>
      <c r="K29" s="20">
        <f t="shared" si="8"/>
        <v>10250</v>
      </c>
      <c r="L29" s="20">
        <f t="shared" si="8"/>
        <v>10250</v>
      </c>
      <c r="M29" s="20">
        <f t="shared" si="8"/>
        <v>10250</v>
      </c>
      <c r="N29" s="20">
        <f t="shared" si="8"/>
        <v>10250</v>
      </c>
    </row>
    <row r="30" spans="2:14" ht="16.5" thickBot="1" x14ac:dyDescent="0.3">
      <c r="B30" s="26" t="s">
        <v>55</v>
      </c>
      <c r="C30" s="20">
        <f>C29</f>
        <v>4550</v>
      </c>
      <c r="D30" s="20">
        <f t="shared" ref="D30:N30" si="9">D29-$S$10</f>
        <v>-450</v>
      </c>
      <c r="E30" s="20">
        <f t="shared" si="9"/>
        <v>250</v>
      </c>
      <c r="F30" s="20">
        <f t="shared" si="9"/>
        <v>250</v>
      </c>
      <c r="G30" s="20">
        <f t="shared" si="9"/>
        <v>5250</v>
      </c>
      <c r="H30" s="20">
        <f t="shared" si="9"/>
        <v>5250</v>
      </c>
      <c r="I30" s="20">
        <f t="shared" si="9"/>
        <v>5250</v>
      </c>
      <c r="J30" s="20">
        <f t="shared" si="9"/>
        <v>5250</v>
      </c>
      <c r="K30" s="20">
        <f t="shared" si="9"/>
        <v>5250</v>
      </c>
      <c r="L30" s="20">
        <f t="shared" si="9"/>
        <v>5250</v>
      </c>
      <c r="M30" s="20">
        <f t="shared" si="9"/>
        <v>5250</v>
      </c>
      <c r="N30" s="20">
        <f t="shared" si="9"/>
        <v>5250</v>
      </c>
    </row>
  </sheetData>
  <mergeCells count="2">
    <mergeCell ref="J2:O4"/>
    <mergeCell ref="B19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Y40"/>
  <sheetViews>
    <sheetView topLeftCell="E1" zoomScale="80" zoomScaleNormal="80" workbookViewId="0">
      <selection activeCell="W5" sqref="W5"/>
    </sheetView>
  </sheetViews>
  <sheetFormatPr defaultRowHeight="15" x14ac:dyDescent="0.25"/>
  <cols>
    <col min="1" max="1" width="9.140625" style="1"/>
    <col min="2" max="2" width="16" style="1" customWidth="1"/>
    <col min="3" max="3" width="13" style="1" bestFit="1" customWidth="1"/>
    <col min="4" max="4" width="12.85546875" style="1" bestFit="1" customWidth="1"/>
    <col min="5" max="5" width="11.42578125" style="1" bestFit="1" customWidth="1"/>
    <col min="6" max="16" width="9.140625" style="1"/>
    <col min="17" max="17" width="19.5703125" style="1" customWidth="1"/>
    <col min="18" max="18" width="9.140625" style="1"/>
    <col min="19" max="19" width="10.28515625" style="1" bestFit="1" customWidth="1"/>
    <col min="20" max="20" width="12.42578125" style="1" bestFit="1" customWidth="1"/>
    <col min="21" max="21" width="18.140625" style="1" bestFit="1" customWidth="1"/>
    <col min="22" max="22" width="12" style="1" bestFit="1" customWidth="1"/>
    <col min="23" max="23" width="9.140625" style="1"/>
    <col min="24" max="25" width="9.85546875" style="1" bestFit="1" customWidth="1"/>
    <col min="26" max="16384" width="9.140625" style="1"/>
  </cols>
  <sheetData>
    <row r="1" spans="3:25" ht="15.75" thickBot="1" x14ac:dyDescent="0.3">
      <c r="J1" s="2"/>
      <c r="K1" s="2"/>
      <c r="L1" s="2"/>
      <c r="M1" s="2"/>
      <c r="N1" s="2"/>
      <c r="O1" s="2"/>
    </row>
    <row r="2" spans="3:25" x14ac:dyDescent="0.25">
      <c r="J2" s="117" t="s">
        <v>30</v>
      </c>
      <c r="K2" s="118"/>
      <c r="L2" s="118"/>
      <c r="M2" s="118"/>
      <c r="N2" s="118"/>
      <c r="O2" s="119"/>
    </row>
    <row r="3" spans="3:25" x14ac:dyDescent="0.25">
      <c r="J3" s="120"/>
      <c r="K3" s="121"/>
      <c r="L3" s="121"/>
      <c r="M3" s="121"/>
      <c r="N3" s="121"/>
      <c r="O3" s="122"/>
    </row>
    <row r="4" spans="3:25" ht="15.75" thickBot="1" x14ac:dyDescent="0.3">
      <c r="J4" s="123"/>
      <c r="K4" s="124"/>
      <c r="L4" s="124"/>
      <c r="M4" s="124"/>
      <c r="N4" s="124"/>
      <c r="O4" s="125"/>
    </row>
    <row r="6" spans="3:25" ht="15.75" thickBot="1" x14ac:dyDescent="0.3"/>
    <row r="7" spans="3:25" ht="15.75" thickBot="1" x14ac:dyDescent="0.3">
      <c r="C7" s="11"/>
      <c r="D7" s="13" t="s">
        <v>8</v>
      </c>
      <c r="E7" s="12"/>
      <c r="F7" s="17" t="s">
        <v>9</v>
      </c>
    </row>
    <row r="8" spans="3:25" x14ac:dyDescent="0.25">
      <c r="C8" s="8" t="s">
        <v>0</v>
      </c>
      <c r="D8" s="71">
        <v>400000</v>
      </c>
      <c r="E8" s="5"/>
      <c r="F8" s="74">
        <v>33333.333333333336</v>
      </c>
      <c r="H8" s="1" t="s">
        <v>37</v>
      </c>
      <c r="J8" s="61">
        <v>200</v>
      </c>
      <c r="L8" s="1" t="s">
        <v>31</v>
      </c>
      <c r="N8" s="61">
        <v>37000</v>
      </c>
      <c r="O8" s="61">
        <v>36500</v>
      </c>
      <c r="Q8" s="1" t="s">
        <v>75</v>
      </c>
      <c r="S8" s="61">
        <v>500000</v>
      </c>
      <c r="U8" s="1" t="s">
        <v>56</v>
      </c>
      <c r="V8" s="61">
        <v>5000</v>
      </c>
    </row>
    <row r="9" spans="3:25" x14ac:dyDescent="0.25">
      <c r="C9" s="9" t="s">
        <v>1</v>
      </c>
      <c r="D9" s="72">
        <v>160000</v>
      </c>
      <c r="E9" s="6"/>
      <c r="F9" s="75">
        <v>13333.333333333334</v>
      </c>
      <c r="H9" s="1" t="s">
        <v>38</v>
      </c>
      <c r="J9" s="61">
        <v>8000</v>
      </c>
      <c r="L9" s="1" t="s">
        <v>32</v>
      </c>
      <c r="N9" s="61">
        <v>5250</v>
      </c>
      <c r="O9" s="61">
        <v>1250</v>
      </c>
      <c r="Q9" s="1" t="s">
        <v>76</v>
      </c>
      <c r="S9" s="60">
        <v>0.14499999999999999</v>
      </c>
      <c r="U9" s="1" t="s">
        <v>57</v>
      </c>
      <c r="V9" s="61">
        <v>5000</v>
      </c>
    </row>
    <row r="10" spans="3:25" x14ac:dyDescent="0.25">
      <c r="C10" s="9" t="s">
        <v>2</v>
      </c>
      <c r="D10" s="72">
        <v>19200</v>
      </c>
      <c r="E10" s="6"/>
      <c r="F10" s="75">
        <v>1600</v>
      </c>
      <c r="H10" s="1" t="s">
        <v>11</v>
      </c>
      <c r="J10" s="61">
        <v>4000</v>
      </c>
      <c r="L10" s="1" t="s">
        <v>33</v>
      </c>
      <c r="N10" s="61">
        <v>5000</v>
      </c>
      <c r="O10" s="61">
        <v>0</v>
      </c>
      <c r="Q10" s="1" t="s">
        <v>118</v>
      </c>
      <c r="S10" s="61">
        <v>13800</v>
      </c>
      <c r="V10" s="61"/>
    </row>
    <row r="11" spans="3:25" x14ac:dyDescent="0.25">
      <c r="C11" s="9" t="s">
        <v>3</v>
      </c>
      <c r="D11" s="72">
        <v>48000</v>
      </c>
      <c r="E11" s="6"/>
      <c r="F11" s="75">
        <v>4000</v>
      </c>
      <c r="H11" s="1" t="s">
        <v>40</v>
      </c>
      <c r="J11" s="61">
        <v>1000</v>
      </c>
      <c r="L11" s="1" t="s">
        <v>34</v>
      </c>
      <c r="N11" s="61">
        <v>2500</v>
      </c>
      <c r="Q11" s="1" t="s">
        <v>79</v>
      </c>
      <c r="S11" s="59">
        <v>48</v>
      </c>
      <c r="V11" s="61"/>
    </row>
    <row r="12" spans="3:25" x14ac:dyDescent="0.25">
      <c r="C12" s="9" t="s">
        <v>4</v>
      </c>
      <c r="D12" s="72">
        <v>372800</v>
      </c>
      <c r="E12" s="6"/>
      <c r="F12" s="75">
        <v>31066.666666666668</v>
      </c>
      <c r="H12" s="1" t="s">
        <v>39</v>
      </c>
      <c r="J12" s="61">
        <v>67000</v>
      </c>
      <c r="L12" s="1" t="s">
        <v>35</v>
      </c>
      <c r="N12" s="61">
        <v>7000</v>
      </c>
      <c r="Q12" s="1" t="s">
        <v>78</v>
      </c>
      <c r="S12" s="61">
        <f>S11*S10</f>
        <v>662400</v>
      </c>
      <c r="V12" s="1">
        <v>10000</v>
      </c>
      <c r="X12" s="61">
        <v>492500</v>
      </c>
      <c r="Y12" s="61">
        <v>491000</v>
      </c>
    </row>
    <row r="13" spans="3:25" x14ac:dyDescent="0.25">
      <c r="C13" s="9" t="s">
        <v>5</v>
      </c>
      <c r="D13" s="72">
        <v>1000000</v>
      </c>
      <c r="E13" s="6"/>
      <c r="F13" s="75">
        <v>83333.333333333343</v>
      </c>
      <c r="L13" s="1" t="s">
        <v>36</v>
      </c>
      <c r="N13" s="61">
        <v>2500</v>
      </c>
      <c r="O13" s="61">
        <v>0</v>
      </c>
      <c r="Q13" s="1" t="s">
        <v>80</v>
      </c>
      <c r="S13" s="61">
        <f>S12-S8</f>
        <v>162400</v>
      </c>
      <c r="V13" s="1">
        <v>5000</v>
      </c>
      <c r="X13" s="61">
        <f>X12-V22</f>
        <v>12400</v>
      </c>
      <c r="Y13" s="61">
        <f>Y12-S10</f>
        <v>477200</v>
      </c>
    </row>
    <row r="14" spans="3:25" x14ac:dyDescent="0.25">
      <c r="C14" s="9" t="s">
        <v>6</v>
      </c>
      <c r="D14" s="72">
        <v>100000</v>
      </c>
      <c r="E14" s="6"/>
      <c r="F14" s="76"/>
      <c r="L14" s="1" t="s">
        <v>60</v>
      </c>
      <c r="N14" s="61">
        <v>3000</v>
      </c>
      <c r="Q14" s="1" t="s">
        <v>90</v>
      </c>
      <c r="S14" s="58">
        <f>S13/48</f>
        <v>3383.3333333333335</v>
      </c>
      <c r="V14" s="1">
        <v>24000</v>
      </c>
      <c r="X14" s="61">
        <f>V15-X13</f>
        <v>26600</v>
      </c>
      <c r="Y14" s="61">
        <f>X15-Y13</f>
        <v>15300</v>
      </c>
    </row>
    <row r="15" spans="3:25" ht="15.75" thickBot="1" x14ac:dyDescent="0.3">
      <c r="C15" s="10" t="s">
        <v>7</v>
      </c>
      <c r="D15" s="73">
        <v>1100000</v>
      </c>
      <c r="E15" s="7"/>
      <c r="F15" s="77"/>
      <c r="L15" s="1" t="s">
        <v>74</v>
      </c>
      <c r="N15" s="61">
        <v>13800</v>
      </c>
      <c r="Q15" s="1" t="s">
        <v>81</v>
      </c>
      <c r="S15" s="1">
        <v>20</v>
      </c>
      <c r="V15" s="1">
        <f>SUM(V12:V14)</f>
        <v>39000</v>
      </c>
      <c r="X15" s="61">
        <f>V22+X13</f>
        <v>492500</v>
      </c>
    </row>
    <row r="16" spans="3:25" x14ac:dyDescent="0.25">
      <c r="C16" s="21"/>
      <c r="D16" s="22"/>
      <c r="E16" s="23"/>
      <c r="F16" s="23"/>
      <c r="L16" s="1" t="s">
        <v>61</v>
      </c>
      <c r="N16" s="61">
        <v>7500</v>
      </c>
      <c r="Q16" s="1" t="s">
        <v>86</v>
      </c>
      <c r="S16" s="61">
        <f>(S8*S9*S15)/(365+(S9*S15))</f>
        <v>3941.2883935852137</v>
      </c>
    </row>
    <row r="17" spans="2:24" ht="15.75" thickBot="1" x14ac:dyDescent="0.3">
      <c r="Q17" s="1" t="s">
        <v>82</v>
      </c>
      <c r="S17" s="61">
        <f>S8*S9*(30/365)</f>
        <v>5958.9041095890407</v>
      </c>
    </row>
    <row r="18" spans="2:24" ht="12.75" customHeight="1" x14ac:dyDescent="0.25">
      <c r="B18" s="128" t="s">
        <v>52</v>
      </c>
      <c r="C18" s="78">
        <v>2016</v>
      </c>
      <c r="D18" s="41">
        <v>2016</v>
      </c>
      <c r="E18" s="41">
        <v>2016</v>
      </c>
      <c r="F18" s="41">
        <v>2016</v>
      </c>
      <c r="G18" s="41">
        <v>2016</v>
      </c>
      <c r="H18" s="41">
        <v>2016</v>
      </c>
      <c r="I18" s="41">
        <v>2016</v>
      </c>
      <c r="J18" s="41">
        <v>2016</v>
      </c>
      <c r="K18" s="41">
        <v>2016</v>
      </c>
      <c r="L18" s="41">
        <v>2016</v>
      </c>
      <c r="M18" s="41">
        <v>2016</v>
      </c>
      <c r="N18" s="42">
        <v>2016</v>
      </c>
      <c r="Q18" s="1" t="s">
        <v>83</v>
      </c>
      <c r="S18" s="84">
        <v>0.02</v>
      </c>
    </row>
    <row r="19" spans="2:24" ht="17.25" customHeight="1" thickBot="1" x14ac:dyDescent="0.3">
      <c r="B19" s="129"/>
      <c r="C19" s="79" t="s">
        <v>41</v>
      </c>
      <c r="D19" s="80" t="s">
        <v>42</v>
      </c>
      <c r="E19" s="80" t="s">
        <v>43</v>
      </c>
      <c r="F19" s="80" t="s">
        <v>44</v>
      </c>
      <c r="G19" s="80" t="s">
        <v>19</v>
      </c>
      <c r="H19" s="81" t="s">
        <v>45</v>
      </c>
      <c r="I19" s="81" t="s">
        <v>46</v>
      </c>
      <c r="J19" s="81" t="s">
        <v>47</v>
      </c>
      <c r="K19" s="81" t="s">
        <v>48</v>
      </c>
      <c r="L19" s="81" t="s">
        <v>49</v>
      </c>
      <c r="M19" s="81" t="s">
        <v>50</v>
      </c>
      <c r="N19" s="82" t="s">
        <v>51</v>
      </c>
      <c r="Q19" s="130" t="s">
        <v>114</v>
      </c>
      <c r="R19" s="86"/>
      <c r="S19" s="132">
        <v>1</v>
      </c>
      <c r="U19" s="1" t="s">
        <v>119</v>
      </c>
      <c r="V19" s="61">
        <f>(S24/100)*15</f>
        <v>750</v>
      </c>
      <c r="X19" s="1">
        <v>49500</v>
      </c>
    </row>
    <row r="20" spans="2:24" ht="15" customHeight="1" x14ac:dyDescent="0.25">
      <c r="B20" s="45" t="s">
        <v>31</v>
      </c>
      <c r="C20" s="83">
        <f>$N$8</f>
        <v>37000</v>
      </c>
      <c r="D20" s="83">
        <f t="shared" ref="D20:I20" si="0">$N$8</f>
        <v>37000</v>
      </c>
      <c r="E20" s="83">
        <f t="shared" si="0"/>
        <v>37000</v>
      </c>
      <c r="F20" s="83">
        <f t="shared" si="0"/>
        <v>37000</v>
      </c>
      <c r="G20" s="83">
        <f t="shared" si="0"/>
        <v>37000</v>
      </c>
      <c r="H20" s="83">
        <f t="shared" si="0"/>
        <v>37000</v>
      </c>
      <c r="I20" s="83">
        <f t="shared" si="0"/>
        <v>37000</v>
      </c>
      <c r="J20" s="83">
        <f>$O$8</f>
        <v>36500</v>
      </c>
      <c r="K20" s="83">
        <f t="shared" ref="K20:N20" si="1">$O$8</f>
        <v>36500</v>
      </c>
      <c r="L20" s="83">
        <f t="shared" si="1"/>
        <v>36500</v>
      </c>
      <c r="M20" s="83">
        <f t="shared" si="1"/>
        <v>36500</v>
      </c>
      <c r="N20" s="83">
        <f t="shared" si="1"/>
        <v>36500</v>
      </c>
      <c r="Q20" s="130"/>
      <c r="R20" s="86"/>
      <c r="S20" s="132"/>
      <c r="U20" s="1" t="s">
        <v>115</v>
      </c>
      <c r="V20" s="61">
        <v>350</v>
      </c>
      <c r="X20" s="1">
        <f>X19/2</f>
        <v>24750</v>
      </c>
    </row>
    <row r="21" spans="2:24" ht="15" customHeight="1" x14ac:dyDescent="0.25">
      <c r="B21" s="43" t="s">
        <v>32</v>
      </c>
      <c r="C21" s="62">
        <f>N9</f>
        <v>5250</v>
      </c>
      <c r="D21" s="63">
        <f>$O$9</f>
        <v>1250</v>
      </c>
      <c r="E21" s="63">
        <f>$O$9</f>
        <v>1250</v>
      </c>
      <c r="F21" s="63">
        <f>$O$9</f>
        <v>1250</v>
      </c>
      <c r="G21" s="63">
        <f>$O$9</f>
        <v>1250</v>
      </c>
      <c r="H21" s="64">
        <f t="shared" ref="H21:M21" si="2">$N$9</f>
        <v>5250</v>
      </c>
      <c r="I21" s="64">
        <f t="shared" si="2"/>
        <v>5250</v>
      </c>
      <c r="J21" s="64">
        <f t="shared" si="2"/>
        <v>5250</v>
      </c>
      <c r="K21" s="64">
        <f t="shared" si="2"/>
        <v>5250</v>
      </c>
      <c r="L21" s="64">
        <f t="shared" si="2"/>
        <v>5250</v>
      </c>
      <c r="M21" s="64">
        <f t="shared" si="2"/>
        <v>5250</v>
      </c>
      <c r="N21" s="65">
        <f>O9</f>
        <v>1250</v>
      </c>
      <c r="Q21" s="130"/>
      <c r="S21" s="132"/>
      <c r="U21" s="1" t="s">
        <v>116</v>
      </c>
      <c r="V21" s="61">
        <f>S10</f>
        <v>13800</v>
      </c>
      <c r="X21" s="1">
        <f>X20-5000</f>
        <v>19750</v>
      </c>
    </row>
    <row r="22" spans="2:24" x14ac:dyDescent="0.25">
      <c r="B22" s="43" t="s">
        <v>33</v>
      </c>
      <c r="C22" s="62">
        <f>N10</f>
        <v>5000</v>
      </c>
      <c r="D22" s="63">
        <f>$C$22</f>
        <v>5000</v>
      </c>
      <c r="E22" s="63">
        <f t="shared" ref="E22:F22" si="3">$C$22</f>
        <v>5000</v>
      </c>
      <c r="F22" s="63">
        <f t="shared" si="3"/>
        <v>5000</v>
      </c>
      <c r="G22" s="63">
        <f t="shared" ref="G22:N22" si="4">$O$10</f>
        <v>0</v>
      </c>
      <c r="H22" s="64">
        <f t="shared" si="4"/>
        <v>0</v>
      </c>
      <c r="I22" s="64">
        <f t="shared" si="4"/>
        <v>0</v>
      </c>
      <c r="J22" s="64">
        <f t="shared" si="4"/>
        <v>0</v>
      </c>
      <c r="K22" s="64">
        <f t="shared" si="4"/>
        <v>0</v>
      </c>
      <c r="L22" s="64">
        <f t="shared" si="4"/>
        <v>0</v>
      </c>
      <c r="M22" s="64">
        <f t="shared" si="4"/>
        <v>0</v>
      </c>
      <c r="N22" s="65">
        <f t="shared" si="4"/>
        <v>0</v>
      </c>
      <c r="Q22" s="130" t="s">
        <v>85</v>
      </c>
      <c r="S22" s="131">
        <v>0</v>
      </c>
      <c r="U22" s="1" t="s">
        <v>120</v>
      </c>
      <c r="V22" s="61">
        <f>S8-S24-V19-V20-V21</f>
        <v>480100</v>
      </c>
    </row>
    <row r="23" spans="2:24" ht="15" customHeight="1" x14ac:dyDescent="0.25">
      <c r="B23" s="43" t="s">
        <v>34</v>
      </c>
      <c r="C23" s="62">
        <f t="shared" ref="C23:N23" si="5">$N$11</f>
        <v>2500</v>
      </c>
      <c r="D23" s="63">
        <f t="shared" si="5"/>
        <v>2500</v>
      </c>
      <c r="E23" s="63">
        <f t="shared" si="5"/>
        <v>2500</v>
      </c>
      <c r="F23" s="63">
        <f t="shared" si="5"/>
        <v>2500</v>
      </c>
      <c r="G23" s="63">
        <f t="shared" si="5"/>
        <v>2500</v>
      </c>
      <c r="H23" s="64">
        <f t="shared" si="5"/>
        <v>2500</v>
      </c>
      <c r="I23" s="64">
        <f t="shared" si="5"/>
        <v>2500</v>
      </c>
      <c r="J23" s="64">
        <f t="shared" si="5"/>
        <v>2500</v>
      </c>
      <c r="K23" s="64">
        <f t="shared" si="5"/>
        <v>2500</v>
      </c>
      <c r="L23" s="64">
        <f t="shared" si="5"/>
        <v>2500</v>
      </c>
      <c r="M23" s="64">
        <f t="shared" si="5"/>
        <v>2500</v>
      </c>
      <c r="N23" s="65">
        <f t="shared" si="5"/>
        <v>2500</v>
      </c>
      <c r="Q23" s="130"/>
      <c r="R23" s="86"/>
      <c r="S23" s="131"/>
      <c r="U23" s="1" t="s">
        <v>121</v>
      </c>
      <c r="V23" s="61">
        <f>V22+V21</f>
        <v>493900</v>
      </c>
      <c r="X23" s="61">
        <f>S8-S24-V19-V20</f>
        <v>493900</v>
      </c>
    </row>
    <row r="24" spans="2:24" x14ac:dyDescent="0.25">
      <c r="B24" s="43" t="s">
        <v>35</v>
      </c>
      <c r="C24" s="62">
        <f t="shared" ref="C24:N24" si="6">$N$12</f>
        <v>7000</v>
      </c>
      <c r="D24" s="63">
        <f t="shared" si="6"/>
        <v>7000</v>
      </c>
      <c r="E24" s="63">
        <f t="shared" si="6"/>
        <v>7000</v>
      </c>
      <c r="F24" s="63">
        <f t="shared" si="6"/>
        <v>7000</v>
      </c>
      <c r="G24" s="63">
        <f t="shared" si="6"/>
        <v>7000</v>
      </c>
      <c r="H24" s="64">
        <f t="shared" si="6"/>
        <v>7000</v>
      </c>
      <c r="I24" s="64">
        <f t="shared" si="6"/>
        <v>7000</v>
      </c>
      <c r="J24" s="64">
        <f t="shared" si="6"/>
        <v>7000</v>
      </c>
      <c r="K24" s="64">
        <f t="shared" si="6"/>
        <v>7000</v>
      </c>
      <c r="L24" s="64">
        <f t="shared" si="6"/>
        <v>7000</v>
      </c>
      <c r="M24" s="64">
        <f t="shared" si="6"/>
        <v>7000</v>
      </c>
      <c r="N24" s="65">
        <f t="shared" si="6"/>
        <v>7000</v>
      </c>
      <c r="Q24" s="91" t="s">
        <v>117</v>
      </c>
      <c r="R24" s="86"/>
      <c r="S24" s="90">
        <f>(S8/100)</f>
        <v>5000</v>
      </c>
      <c r="X24" s="61">
        <f>X23-Y12</f>
        <v>2900</v>
      </c>
    </row>
    <row r="25" spans="2:24" x14ac:dyDescent="0.25">
      <c r="B25" s="43" t="s">
        <v>36</v>
      </c>
      <c r="C25" s="62">
        <f>$N$13</f>
        <v>2500</v>
      </c>
      <c r="D25" s="63">
        <f>$N$13</f>
        <v>2500</v>
      </c>
      <c r="E25" s="63">
        <v>0</v>
      </c>
      <c r="F25" s="63">
        <v>0</v>
      </c>
      <c r="G25" s="63">
        <f>$O$13</f>
        <v>0</v>
      </c>
      <c r="H25" s="64">
        <f>$N$13</f>
        <v>2500</v>
      </c>
      <c r="I25" s="64">
        <f>$N$13</f>
        <v>2500</v>
      </c>
      <c r="J25" s="64">
        <f>$N$13</f>
        <v>2500</v>
      </c>
      <c r="K25" s="64">
        <f>$N$13</f>
        <v>2500</v>
      </c>
      <c r="L25" s="64">
        <f>$N$13</f>
        <v>2500</v>
      </c>
      <c r="M25" s="64">
        <v>0</v>
      </c>
      <c r="N25" s="64">
        <v>0</v>
      </c>
    </row>
    <row r="26" spans="2:24" x14ac:dyDescent="0.25">
      <c r="B26" s="43" t="s">
        <v>60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4">
        <f t="shared" ref="H26:N26" si="7">$N$14</f>
        <v>3000</v>
      </c>
      <c r="I26" s="64">
        <f t="shared" si="7"/>
        <v>3000</v>
      </c>
      <c r="J26" s="64">
        <f t="shared" si="7"/>
        <v>3000</v>
      </c>
      <c r="K26" s="64">
        <f t="shared" si="7"/>
        <v>3000</v>
      </c>
      <c r="L26" s="64">
        <f t="shared" si="7"/>
        <v>3000</v>
      </c>
      <c r="M26" s="64">
        <f t="shared" si="7"/>
        <v>3000</v>
      </c>
      <c r="N26" s="65">
        <f t="shared" si="7"/>
        <v>3000</v>
      </c>
      <c r="S26" s="89" t="s">
        <v>102</v>
      </c>
      <c r="T26" s="89" t="s">
        <v>103</v>
      </c>
      <c r="U26" s="89" t="s">
        <v>104</v>
      </c>
      <c r="V26" s="89" t="s">
        <v>105</v>
      </c>
    </row>
    <row r="27" spans="2:24" ht="15.75" thickBot="1" x14ac:dyDescent="0.3">
      <c r="B27" s="44" t="s">
        <v>74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7">
        <v>10000</v>
      </c>
      <c r="I27" s="67">
        <f t="shared" ref="I27:N27" si="8">$N$15</f>
        <v>13800</v>
      </c>
      <c r="J27" s="67">
        <f t="shared" si="8"/>
        <v>13800</v>
      </c>
      <c r="K27" s="67">
        <f t="shared" si="8"/>
        <v>13800</v>
      </c>
      <c r="L27" s="67">
        <f t="shared" si="8"/>
        <v>13800</v>
      </c>
      <c r="M27" s="67">
        <f t="shared" si="8"/>
        <v>13800</v>
      </c>
      <c r="N27" s="68">
        <f t="shared" si="8"/>
        <v>13800</v>
      </c>
      <c r="Q27" s="87" t="s">
        <v>110</v>
      </c>
      <c r="S27" s="88">
        <f>$S$10</f>
        <v>13800</v>
      </c>
      <c r="T27" s="88">
        <f t="shared" ref="T27:V27" si="9">$S$10</f>
        <v>13800</v>
      </c>
      <c r="U27" s="88">
        <f t="shared" si="9"/>
        <v>13800</v>
      </c>
      <c r="V27" s="88">
        <f t="shared" si="9"/>
        <v>13800</v>
      </c>
    </row>
    <row r="28" spans="2:24" x14ac:dyDescent="0.25"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Q28" s="87" t="s">
        <v>111</v>
      </c>
      <c r="S28" s="88">
        <f>S27*12</f>
        <v>165600</v>
      </c>
      <c r="T28" s="88">
        <f t="shared" ref="T28:V28" si="10">T27*12</f>
        <v>165600</v>
      </c>
      <c r="U28" s="88">
        <f t="shared" si="10"/>
        <v>165600</v>
      </c>
      <c r="V28" s="88">
        <f t="shared" si="10"/>
        <v>165600</v>
      </c>
    </row>
    <row r="29" spans="2:24" ht="15.75" thickBot="1" x14ac:dyDescent="0.3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Q29" s="87" t="s">
        <v>106</v>
      </c>
      <c r="S29" s="88">
        <f>$S$13/4</f>
        <v>40600</v>
      </c>
      <c r="T29" s="88">
        <f t="shared" ref="T29:V29" si="11">$S$13/4</f>
        <v>40600</v>
      </c>
      <c r="U29" s="88">
        <f t="shared" si="11"/>
        <v>40600</v>
      </c>
      <c r="V29" s="88">
        <f t="shared" si="11"/>
        <v>40600</v>
      </c>
    </row>
    <row r="30" spans="2:24" ht="16.5" thickBot="1" x14ac:dyDescent="0.3">
      <c r="B30" s="26" t="s">
        <v>53</v>
      </c>
      <c r="C30" s="69">
        <f>$J$12-SUM(C20:C25)</f>
        <v>7750</v>
      </c>
      <c r="D30" s="69">
        <f>$J$12-SUM(D20:D25)</f>
        <v>11750</v>
      </c>
      <c r="E30" s="69">
        <f>$J$12-SUM(E20:E25)</f>
        <v>14250</v>
      </c>
      <c r="F30" s="69">
        <f>$J$12-SUM(F20:F25)</f>
        <v>14250</v>
      </c>
      <c r="G30" s="69">
        <f>$J$12-SUM(G20:G25)</f>
        <v>19250</v>
      </c>
      <c r="H30" s="70">
        <f>$J$12-SUM(H20:H27)</f>
        <v>-250</v>
      </c>
      <c r="I30" s="70">
        <f t="shared" ref="I30:N30" si="12">$J$12-SUM(I20:I27)+$N$16</f>
        <v>3450</v>
      </c>
      <c r="J30" s="70">
        <f t="shared" si="12"/>
        <v>3950</v>
      </c>
      <c r="K30" s="70">
        <f t="shared" si="12"/>
        <v>3950</v>
      </c>
      <c r="L30" s="70">
        <f t="shared" si="12"/>
        <v>3950</v>
      </c>
      <c r="M30" s="70">
        <f t="shared" si="12"/>
        <v>6450</v>
      </c>
      <c r="N30" s="70">
        <f t="shared" si="12"/>
        <v>10450</v>
      </c>
      <c r="Q30" s="87" t="s">
        <v>107</v>
      </c>
      <c r="S30" s="88">
        <f>$N$16</f>
        <v>7500</v>
      </c>
      <c r="T30" s="88">
        <f t="shared" ref="T30:V30" si="13">$N$16</f>
        <v>7500</v>
      </c>
      <c r="U30" s="88">
        <f t="shared" si="13"/>
        <v>7500</v>
      </c>
      <c r="V30" s="88">
        <f t="shared" si="13"/>
        <v>7500</v>
      </c>
    </row>
    <row r="31" spans="2:24" ht="16.5" thickBot="1" x14ac:dyDescent="0.3">
      <c r="B31" s="26" t="s">
        <v>54</v>
      </c>
      <c r="C31" s="69">
        <f>C30-$V$8</f>
        <v>2750</v>
      </c>
      <c r="D31" s="69">
        <f>D30-$V$8</f>
        <v>6750</v>
      </c>
      <c r="E31" s="69">
        <f>E30-$V$8</f>
        <v>9250</v>
      </c>
      <c r="F31" s="69">
        <f>F30-$V$8</f>
        <v>9250</v>
      </c>
      <c r="G31" s="69">
        <f>G30-$V$8</f>
        <v>14250</v>
      </c>
      <c r="H31" s="70"/>
      <c r="I31" s="70"/>
      <c r="J31" s="70"/>
      <c r="K31" s="70"/>
      <c r="L31" s="70"/>
      <c r="M31" s="70"/>
      <c r="N31" s="70"/>
      <c r="Q31" s="87" t="s">
        <v>108</v>
      </c>
      <c r="S31" s="88">
        <f>S30*12</f>
        <v>90000</v>
      </c>
      <c r="T31" s="88">
        <f t="shared" ref="T31:V31" si="14">T30*12</f>
        <v>90000</v>
      </c>
      <c r="U31" s="88">
        <f t="shared" si="14"/>
        <v>90000</v>
      </c>
      <c r="V31" s="88">
        <f t="shared" si="14"/>
        <v>90000</v>
      </c>
    </row>
    <row r="32" spans="2:24" ht="16.5" thickBot="1" x14ac:dyDescent="0.3">
      <c r="B32" s="26" t="s">
        <v>55</v>
      </c>
      <c r="C32" s="69">
        <f>C31</f>
        <v>2750</v>
      </c>
      <c r="D32" s="69">
        <f>D31-$V$9</f>
        <v>1750</v>
      </c>
      <c r="E32" s="69">
        <f>E31-$V$9</f>
        <v>4250</v>
      </c>
      <c r="F32" s="69">
        <f>F31-$V$9</f>
        <v>4250</v>
      </c>
      <c r="G32" s="69">
        <f>G31-$V$9</f>
        <v>9250</v>
      </c>
      <c r="H32" s="70"/>
      <c r="I32" s="70"/>
      <c r="J32" s="70"/>
      <c r="K32" s="70"/>
      <c r="L32" s="70"/>
      <c r="M32" s="70"/>
      <c r="N32" s="70"/>
      <c r="Q32" s="87" t="s">
        <v>109</v>
      </c>
      <c r="S32" s="88">
        <f>S31-S29</f>
        <v>49400</v>
      </c>
      <c r="T32" s="88">
        <f t="shared" ref="T32:V32" si="15">T31-T29</f>
        <v>49400</v>
      </c>
      <c r="U32" s="88">
        <f t="shared" si="15"/>
        <v>49400</v>
      </c>
      <c r="V32" s="88">
        <f t="shared" si="15"/>
        <v>49400</v>
      </c>
    </row>
    <row r="37" spans="2:5" x14ac:dyDescent="0.25">
      <c r="B37" s="85" t="s">
        <v>87</v>
      </c>
    </row>
    <row r="38" spans="2:5" x14ac:dyDescent="0.25">
      <c r="B38" s="1" t="s">
        <v>88</v>
      </c>
      <c r="E38" s="84">
        <v>0.01</v>
      </c>
    </row>
    <row r="39" spans="2:5" x14ac:dyDescent="0.25">
      <c r="B39" s="1" t="s">
        <v>89</v>
      </c>
      <c r="E39" s="99" t="s">
        <v>126</v>
      </c>
    </row>
    <row r="40" spans="2:5" x14ac:dyDescent="0.25">
      <c r="B40" s="1" t="s">
        <v>91</v>
      </c>
      <c r="E40" s="99" t="s">
        <v>127</v>
      </c>
    </row>
  </sheetData>
  <mergeCells count="6">
    <mergeCell ref="J2:O4"/>
    <mergeCell ref="B18:B19"/>
    <mergeCell ref="Q19:Q21"/>
    <mergeCell ref="Q22:Q23"/>
    <mergeCell ref="S22:S23"/>
    <mergeCell ref="S19:S21"/>
  </mergeCells>
  <pageMargins left="0.7" right="0.7" top="0.75" bottom="0.75" header="0.3" footer="0.3"/>
  <pageSetup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Q125"/>
  <sheetViews>
    <sheetView tabSelected="1" zoomScale="90" zoomScaleNormal="90" workbookViewId="0">
      <selection activeCell="H3" sqref="H3"/>
    </sheetView>
  </sheetViews>
  <sheetFormatPr defaultRowHeight="15" x14ac:dyDescent="0.25"/>
  <cols>
    <col min="1" max="3" width="9.140625" style="1"/>
    <col min="4" max="4" width="13" style="1" bestFit="1" customWidth="1"/>
    <col min="5" max="5" width="9.140625" style="1"/>
    <col min="6" max="7" width="11.28515625" style="1" bestFit="1" customWidth="1"/>
    <col min="8" max="8" width="9.85546875" style="1" bestFit="1" customWidth="1"/>
    <col min="9" max="9" width="9.140625" style="1"/>
    <col min="10" max="10" width="11.28515625" style="1" bestFit="1" customWidth="1"/>
    <col min="11" max="11" width="9.85546875" style="1" bestFit="1" customWidth="1"/>
    <col min="12" max="12" width="9.140625" style="1"/>
    <col min="13" max="13" width="11.28515625" style="1" bestFit="1" customWidth="1"/>
    <col min="14" max="14" width="9.85546875" style="1" bestFit="1" customWidth="1"/>
    <col min="15" max="15" width="9.140625" style="1"/>
    <col min="16" max="16" width="11.28515625" style="1" bestFit="1" customWidth="1"/>
    <col min="17" max="17" width="13.28515625" style="1" bestFit="1" customWidth="1"/>
    <col min="18" max="16384" width="9.140625" style="1"/>
  </cols>
  <sheetData>
    <row r="1" spans="2:17" ht="15.75" thickBot="1" x14ac:dyDescent="0.3">
      <c r="B1" s="1">
        <v>50000</v>
      </c>
      <c r="D1" s="1">
        <f>Yearly_Rate(B1,B2,B3)</f>
        <v>165019.34472868341</v>
      </c>
    </row>
    <row r="2" spans="2:17" ht="15.75" thickBot="1" x14ac:dyDescent="0.3">
      <c r="B2" s="94">
        <v>0.01</v>
      </c>
      <c r="F2" s="146" t="s">
        <v>9</v>
      </c>
      <c r="G2" s="147" t="s">
        <v>122</v>
      </c>
      <c r="H2" s="148" t="s">
        <v>77</v>
      </c>
      <c r="I2" s="140" t="s">
        <v>9</v>
      </c>
      <c r="J2" s="145" t="s">
        <v>123</v>
      </c>
      <c r="K2" s="141" t="s">
        <v>77</v>
      </c>
      <c r="L2" s="140" t="s">
        <v>9</v>
      </c>
      <c r="M2" s="145" t="s">
        <v>124</v>
      </c>
      <c r="N2" s="141" t="s">
        <v>77</v>
      </c>
      <c r="O2" s="92" t="s">
        <v>9</v>
      </c>
      <c r="P2" s="92" t="s">
        <v>125</v>
      </c>
      <c r="Q2" s="93" t="s">
        <v>77</v>
      </c>
    </row>
    <row r="3" spans="2:17" x14ac:dyDescent="0.25">
      <c r="B3" s="1">
        <v>120</v>
      </c>
      <c r="D3" s="98">
        <v>42552</v>
      </c>
      <c r="F3" s="149">
        <v>1</v>
      </c>
      <c r="G3" s="150">
        <f>DATE(2016,MONTH(D3)+1,DAY(1))</f>
        <v>42583</v>
      </c>
      <c r="H3" s="152">
        <f>'Savings 2'!$N$15</f>
        <v>13800</v>
      </c>
      <c r="I3" s="142">
        <f>F14+1</f>
        <v>13</v>
      </c>
      <c r="J3" s="143">
        <f>DATE(YEAR(G14),MONTH(G14)+1,DAY(G14))</f>
        <v>42948</v>
      </c>
      <c r="K3" s="156">
        <f>'Savings 2'!$N$15</f>
        <v>13800</v>
      </c>
      <c r="L3" s="142">
        <f>I14+1</f>
        <v>25</v>
      </c>
      <c r="M3" s="143">
        <f>DATE(YEAR(J14),MONTH(J14)+1,DAY(J14))</f>
        <v>43313</v>
      </c>
      <c r="N3" s="156">
        <f>'Savings 2'!$N$15</f>
        <v>13800</v>
      </c>
      <c r="O3" s="136">
        <f>L14+1</f>
        <v>37</v>
      </c>
      <c r="P3" s="96">
        <f>DATE(YEAR(M14),MONTH(M14)+1,DAY(M14))</f>
        <v>43678</v>
      </c>
      <c r="Q3" s="157">
        <f>'Savings 2'!$N$15</f>
        <v>13800</v>
      </c>
    </row>
    <row r="4" spans="2:17" x14ac:dyDescent="0.25">
      <c r="F4" s="151">
        <v>2</v>
      </c>
      <c r="G4" s="138">
        <f>DATE(YEAR(G3),MONTH(G3)+1,DAY(1))</f>
        <v>42614</v>
      </c>
      <c r="H4" s="153">
        <f>'Savings 2'!$N$15</f>
        <v>13800</v>
      </c>
      <c r="I4" s="144">
        <f>I3+1</f>
        <v>14</v>
      </c>
      <c r="J4" s="96">
        <f>DATE(YEAR(J3),MONTH(J3)+1,DAY(J3))</f>
        <v>42979</v>
      </c>
      <c r="K4" s="154">
        <f>'Savings 2'!$N$15</f>
        <v>13800</v>
      </c>
      <c r="L4" s="144">
        <f>L3+1</f>
        <v>26</v>
      </c>
      <c r="M4" s="96">
        <f>DATE(YEAR(M3),MONTH(M3)+1,DAY(M3))</f>
        <v>43344</v>
      </c>
      <c r="N4" s="154">
        <f>'Savings 2'!$N$15</f>
        <v>13800</v>
      </c>
      <c r="O4" s="136">
        <f>O3+1</f>
        <v>38</v>
      </c>
      <c r="P4" s="96">
        <f>DATE(YEAR(P3),MONTH(P3)+1,DAY(P3))</f>
        <v>43709</v>
      </c>
      <c r="Q4" s="157">
        <f>'Savings 2'!$N$15</f>
        <v>13800</v>
      </c>
    </row>
    <row r="5" spans="2:17" x14ac:dyDescent="0.25">
      <c r="F5" s="151">
        <v>3</v>
      </c>
      <c r="G5" s="138">
        <f t="shared" ref="G5:G14" si="0">DATE(YEAR(G4),MONTH(G4)+1,DAY(1))</f>
        <v>42644</v>
      </c>
      <c r="H5" s="153">
        <f>'Savings 2'!$N$15</f>
        <v>13800</v>
      </c>
      <c r="I5" s="144">
        <f t="shared" ref="I5:I14" si="1">I4+1</f>
        <v>15</v>
      </c>
      <c r="J5" s="96">
        <f t="shared" ref="J5:J14" si="2">DATE(YEAR(J4),MONTH(J4)+1,DAY(J4))</f>
        <v>43009</v>
      </c>
      <c r="K5" s="154">
        <f>'Savings 2'!$N$15</f>
        <v>13800</v>
      </c>
      <c r="L5" s="144">
        <f t="shared" ref="L5:L14" si="3">L4+1</f>
        <v>27</v>
      </c>
      <c r="M5" s="96">
        <f t="shared" ref="M5:M14" si="4">DATE(YEAR(M4),MONTH(M4)+1,DAY(M4))</f>
        <v>43374</v>
      </c>
      <c r="N5" s="154">
        <f>'Savings 2'!$N$15</f>
        <v>13800</v>
      </c>
      <c r="O5" s="136">
        <f t="shared" ref="O5:O14" si="5">O4+1</f>
        <v>39</v>
      </c>
      <c r="P5" s="96">
        <f t="shared" ref="P5:P14" si="6">DATE(YEAR(P4),MONTH(P4)+1,DAY(P4))</f>
        <v>43739</v>
      </c>
      <c r="Q5" s="157">
        <f>'Savings 2'!$N$15</f>
        <v>13800</v>
      </c>
    </row>
    <row r="6" spans="2:17" x14ac:dyDescent="0.25">
      <c r="F6" s="151">
        <v>4</v>
      </c>
      <c r="G6" s="138">
        <f t="shared" si="0"/>
        <v>42675</v>
      </c>
      <c r="H6" s="153">
        <f>'Savings 2'!$N$15</f>
        <v>13800</v>
      </c>
      <c r="I6" s="144">
        <f t="shared" si="1"/>
        <v>16</v>
      </c>
      <c r="J6" s="96">
        <f t="shared" si="2"/>
        <v>43040</v>
      </c>
      <c r="K6" s="154">
        <f>'Savings 2'!$N$15</f>
        <v>13800</v>
      </c>
      <c r="L6" s="144">
        <f t="shared" si="3"/>
        <v>28</v>
      </c>
      <c r="M6" s="96">
        <f t="shared" si="4"/>
        <v>43405</v>
      </c>
      <c r="N6" s="154">
        <f>'Savings 2'!$N$15</f>
        <v>13800</v>
      </c>
      <c r="O6" s="136">
        <f t="shared" si="5"/>
        <v>40</v>
      </c>
      <c r="P6" s="96">
        <f t="shared" si="6"/>
        <v>43770</v>
      </c>
      <c r="Q6" s="157">
        <f>'Savings 2'!$N$15</f>
        <v>13800</v>
      </c>
    </row>
    <row r="7" spans="2:17" x14ac:dyDescent="0.25">
      <c r="F7" s="151">
        <v>5</v>
      </c>
      <c r="G7" s="138">
        <f t="shared" si="0"/>
        <v>42705</v>
      </c>
      <c r="H7" s="153">
        <f>'Savings 2'!$N$15</f>
        <v>13800</v>
      </c>
      <c r="I7" s="144">
        <f t="shared" si="1"/>
        <v>17</v>
      </c>
      <c r="J7" s="96">
        <f t="shared" si="2"/>
        <v>43070</v>
      </c>
      <c r="K7" s="154">
        <f>'Savings 2'!$N$15</f>
        <v>13800</v>
      </c>
      <c r="L7" s="144">
        <f t="shared" si="3"/>
        <v>29</v>
      </c>
      <c r="M7" s="96">
        <f t="shared" si="4"/>
        <v>43435</v>
      </c>
      <c r="N7" s="154">
        <f>'Savings 2'!$N$15</f>
        <v>13800</v>
      </c>
      <c r="O7" s="136">
        <f t="shared" si="5"/>
        <v>41</v>
      </c>
      <c r="P7" s="96">
        <f t="shared" si="6"/>
        <v>43800</v>
      </c>
      <c r="Q7" s="157">
        <f>'Savings 2'!$N$15</f>
        <v>13800</v>
      </c>
    </row>
    <row r="8" spans="2:17" x14ac:dyDescent="0.25">
      <c r="F8" s="144">
        <v>6</v>
      </c>
      <c r="G8" s="96">
        <f t="shared" si="0"/>
        <v>42736</v>
      </c>
      <c r="H8" s="154">
        <f>'Savings 2'!$N$15</f>
        <v>13800</v>
      </c>
      <c r="I8" s="144">
        <f t="shared" si="1"/>
        <v>18</v>
      </c>
      <c r="J8" s="96">
        <f t="shared" si="2"/>
        <v>43101</v>
      </c>
      <c r="K8" s="154">
        <f>'Savings 2'!$N$15</f>
        <v>13800</v>
      </c>
      <c r="L8" s="144">
        <f t="shared" si="3"/>
        <v>30</v>
      </c>
      <c r="M8" s="96">
        <f t="shared" si="4"/>
        <v>43466</v>
      </c>
      <c r="N8" s="154">
        <f>'Savings 2'!$N$15</f>
        <v>13800</v>
      </c>
      <c r="O8" s="136">
        <f t="shared" si="5"/>
        <v>42</v>
      </c>
      <c r="P8" s="96">
        <f t="shared" si="6"/>
        <v>43831</v>
      </c>
      <c r="Q8" s="157">
        <f>'Savings 2'!$N$15</f>
        <v>13800</v>
      </c>
    </row>
    <row r="9" spans="2:17" x14ac:dyDescent="0.25">
      <c r="F9" s="144">
        <v>7</v>
      </c>
      <c r="G9" s="96">
        <f t="shared" si="0"/>
        <v>42767</v>
      </c>
      <c r="H9" s="154">
        <f>'Savings 2'!$N$15</f>
        <v>13800</v>
      </c>
      <c r="I9" s="144">
        <f t="shared" si="1"/>
        <v>19</v>
      </c>
      <c r="J9" s="96">
        <f t="shared" si="2"/>
        <v>43132</v>
      </c>
      <c r="K9" s="154">
        <f>'Savings 2'!$N$15</f>
        <v>13800</v>
      </c>
      <c r="L9" s="144">
        <f t="shared" si="3"/>
        <v>31</v>
      </c>
      <c r="M9" s="96">
        <f t="shared" si="4"/>
        <v>43497</v>
      </c>
      <c r="N9" s="154">
        <f>'Savings 2'!$N$15</f>
        <v>13800</v>
      </c>
      <c r="O9" s="136">
        <f t="shared" si="5"/>
        <v>43</v>
      </c>
      <c r="P9" s="96">
        <f t="shared" si="6"/>
        <v>43862</v>
      </c>
      <c r="Q9" s="157">
        <f>'Savings 2'!$N$15</f>
        <v>13800</v>
      </c>
    </row>
    <row r="10" spans="2:17" x14ac:dyDescent="0.25">
      <c r="F10" s="144">
        <v>8</v>
      </c>
      <c r="G10" s="96">
        <f t="shared" si="0"/>
        <v>42795</v>
      </c>
      <c r="H10" s="154">
        <f>'Savings 2'!$N$15</f>
        <v>13800</v>
      </c>
      <c r="I10" s="144">
        <f t="shared" si="1"/>
        <v>20</v>
      </c>
      <c r="J10" s="96">
        <f t="shared" si="2"/>
        <v>43160</v>
      </c>
      <c r="K10" s="154">
        <f>'Savings 2'!$N$15</f>
        <v>13800</v>
      </c>
      <c r="L10" s="144">
        <f t="shared" si="3"/>
        <v>32</v>
      </c>
      <c r="M10" s="96">
        <f t="shared" si="4"/>
        <v>43525</v>
      </c>
      <c r="N10" s="154">
        <f>'Savings 2'!$N$15</f>
        <v>13800</v>
      </c>
      <c r="O10" s="136">
        <f t="shared" si="5"/>
        <v>44</v>
      </c>
      <c r="P10" s="96">
        <f t="shared" si="6"/>
        <v>43891</v>
      </c>
      <c r="Q10" s="157">
        <f>'Savings 2'!$N$15</f>
        <v>13800</v>
      </c>
    </row>
    <row r="11" spans="2:17" x14ac:dyDescent="0.25">
      <c r="F11" s="144">
        <v>9</v>
      </c>
      <c r="G11" s="96">
        <f t="shared" si="0"/>
        <v>42826</v>
      </c>
      <c r="H11" s="154">
        <f>'Savings 2'!$N$15</f>
        <v>13800</v>
      </c>
      <c r="I11" s="144">
        <f t="shared" si="1"/>
        <v>21</v>
      </c>
      <c r="J11" s="96">
        <f t="shared" si="2"/>
        <v>43191</v>
      </c>
      <c r="K11" s="154">
        <f>'Savings 2'!$N$15</f>
        <v>13800</v>
      </c>
      <c r="L11" s="144">
        <f t="shared" si="3"/>
        <v>33</v>
      </c>
      <c r="M11" s="96">
        <f t="shared" si="4"/>
        <v>43556</v>
      </c>
      <c r="N11" s="154">
        <f>'Savings 2'!$N$15</f>
        <v>13800</v>
      </c>
      <c r="O11" s="136">
        <f t="shared" si="5"/>
        <v>45</v>
      </c>
      <c r="P11" s="96">
        <f t="shared" si="6"/>
        <v>43922</v>
      </c>
      <c r="Q11" s="157">
        <f>'Savings 2'!$N$15</f>
        <v>13800</v>
      </c>
    </row>
    <row r="12" spans="2:17" x14ac:dyDescent="0.25">
      <c r="F12" s="144">
        <v>10</v>
      </c>
      <c r="G12" s="96">
        <f t="shared" si="0"/>
        <v>42856</v>
      </c>
      <c r="H12" s="154">
        <f>'Savings 2'!$N$15</f>
        <v>13800</v>
      </c>
      <c r="I12" s="144">
        <f t="shared" si="1"/>
        <v>22</v>
      </c>
      <c r="J12" s="96">
        <f t="shared" si="2"/>
        <v>43221</v>
      </c>
      <c r="K12" s="154">
        <f>'Savings 2'!$N$15</f>
        <v>13800</v>
      </c>
      <c r="L12" s="144">
        <f t="shared" si="3"/>
        <v>34</v>
      </c>
      <c r="M12" s="96">
        <f t="shared" si="4"/>
        <v>43586</v>
      </c>
      <c r="N12" s="154">
        <f>'Savings 2'!$N$15</f>
        <v>13800</v>
      </c>
      <c r="O12" s="136">
        <f t="shared" si="5"/>
        <v>46</v>
      </c>
      <c r="P12" s="96">
        <f t="shared" si="6"/>
        <v>43952</v>
      </c>
      <c r="Q12" s="157">
        <f>'Savings 2'!$N$15</f>
        <v>13800</v>
      </c>
    </row>
    <row r="13" spans="2:17" x14ac:dyDescent="0.25">
      <c r="F13" s="144">
        <v>11</v>
      </c>
      <c r="G13" s="96">
        <f t="shared" si="0"/>
        <v>42887</v>
      </c>
      <c r="H13" s="154">
        <f>'Savings 2'!$N$15</f>
        <v>13800</v>
      </c>
      <c r="I13" s="144">
        <f t="shared" si="1"/>
        <v>23</v>
      </c>
      <c r="J13" s="96">
        <f t="shared" si="2"/>
        <v>43252</v>
      </c>
      <c r="K13" s="154">
        <f>'Savings 2'!$N$15</f>
        <v>13800</v>
      </c>
      <c r="L13" s="144">
        <f t="shared" si="3"/>
        <v>35</v>
      </c>
      <c r="M13" s="96">
        <f t="shared" si="4"/>
        <v>43617</v>
      </c>
      <c r="N13" s="154">
        <f>'Savings 2'!$N$15</f>
        <v>13800</v>
      </c>
      <c r="O13" s="136">
        <f t="shared" si="5"/>
        <v>47</v>
      </c>
      <c r="P13" s="96">
        <f t="shared" si="6"/>
        <v>43983</v>
      </c>
      <c r="Q13" s="157">
        <f>'Savings 2'!$N$15</f>
        <v>13800</v>
      </c>
    </row>
    <row r="14" spans="2:17" ht="15.75" thickBot="1" x14ac:dyDescent="0.3">
      <c r="F14" s="139">
        <v>12</v>
      </c>
      <c r="G14" s="97">
        <f t="shared" si="0"/>
        <v>42917</v>
      </c>
      <c r="H14" s="155">
        <f>'Savings 2'!$N$15</f>
        <v>13800</v>
      </c>
      <c r="I14" s="139">
        <f t="shared" si="1"/>
        <v>24</v>
      </c>
      <c r="J14" s="97">
        <f t="shared" si="2"/>
        <v>43282</v>
      </c>
      <c r="K14" s="155">
        <f>'Savings 2'!$N$15</f>
        <v>13800</v>
      </c>
      <c r="L14" s="139">
        <f t="shared" si="3"/>
        <v>36</v>
      </c>
      <c r="M14" s="97">
        <f t="shared" si="4"/>
        <v>43647</v>
      </c>
      <c r="N14" s="155">
        <f>'Savings 2'!$N$15</f>
        <v>13800</v>
      </c>
      <c r="O14" s="136">
        <f t="shared" si="5"/>
        <v>48</v>
      </c>
      <c r="P14" s="97">
        <f t="shared" si="6"/>
        <v>44013</v>
      </c>
      <c r="Q14" s="158">
        <f>'Savings 2'!$N$15</f>
        <v>13800</v>
      </c>
    </row>
    <row r="15" spans="2:17" ht="15.75" thickBot="1" x14ac:dyDescent="0.3">
      <c r="E15" s="85" t="s">
        <v>69</v>
      </c>
      <c r="F15" s="139">
        <f>COUNT(F3:F14)</f>
        <v>12</v>
      </c>
      <c r="G15" s="137"/>
      <c r="H15" s="155">
        <f>SUM(H3:H14)</f>
        <v>165600</v>
      </c>
      <c r="I15" s="139">
        <f>I14</f>
        <v>24</v>
      </c>
      <c r="J15" s="137"/>
      <c r="K15" s="155">
        <f>SUM(H15,K3:K14)</f>
        <v>331200</v>
      </c>
      <c r="L15" s="139">
        <f>L14</f>
        <v>36</v>
      </c>
      <c r="M15" s="137">
        <f>COUNT(M3:M14)</f>
        <v>12</v>
      </c>
      <c r="N15" s="155">
        <f>SUM(K15,N3:N14)</f>
        <v>496800</v>
      </c>
      <c r="O15" s="95">
        <f>O14</f>
        <v>48</v>
      </c>
      <c r="P15" s="95"/>
      <c r="Q15" s="159">
        <f>SUM(N15,Q3:Q14)</f>
        <v>662400</v>
      </c>
    </row>
    <row r="88" spans="4:5" x14ac:dyDescent="0.25">
      <c r="D88" s="1">
        <f>SUM(C5:C88,B1)</f>
        <v>50000</v>
      </c>
      <c r="E88" s="1">
        <f>D88-B1</f>
        <v>0</v>
      </c>
    </row>
    <row r="125" spans="3:5" x14ac:dyDescent="0.25">
      <c r="C125" s="1">
        <f>SUM(C5:C124)</f>
        <v>0</v>
      </c>
      <c r="D125" s="1">
        <f>B1+C125</f>
        <v>50000</v>
      </c>
      <c r="E125" s="1">
        <f>D125-B1</f>
        <v>0</v>
      </c>
    </row>
  </sheetData>
  <pageMargins left="0.7" right="0.7" top="0.75" bottom="0.75" header="0.3" footer="0.3"/>
  <pageSetup orientation="portrait" verticalDpi="599" r:id="rId1"/>
  <ignoredErrors>
    <ignoredError sqref="J3:J14 M3:M14 P3:P14 K3:K14 N3:N14 H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P17"/>
  <sheetViews>
    <sheetView zoomScale="80" zoomScaleNormal="80" workbookViewId="0">
      <selection activeCell="K1" sqref="K1"/>
    </sheetView>
  </sheetViews>
  <sheetFormatPr defaultRowHeight="15" x14ac:dyDescent="0.25"/>
  <cols>
    <col min="1" max="7" width="9.140625" style="1"/>
    <col min="8" max="8" width="10.28515625" style="1" customWidth="1"/>
    <col min="9" max="11" width="9.140625" style="1"/>
    <col min="12" max="12" width="13" style="1" bestFit="1" customWidth="1"/>
    <col min="13" max="16384" width="9.140625" style="1"/>
  </cols>
  <sheetData>
    <row r="2" spans="1:16" x14ac:dyDescent="0.25">
      <c r="B2" s="1">
        <v>13414</v>
      </c>
      <c r="F2" s="1" t="s">
        <v>75</v>
      </c>
      <c r="H2" s="61">
        <v>500000</v>
      </c>
      <c r="M2" s="87" t="s">
        <v>102</v>
      </c>
      <c r="N2" s="87" t="s">
        <v>103</v>
      </c>
      <c r="O2" s="87" t="s">
        <v>104</v>
      </c>
      <c r="P2" s="87" t="s">
        <v>105</v>
      </c>
    </row>
    <row r="3" spans="1:16" x14ac:dyDescent="0.25">
      <c r="B3" s="84">
        <v>0.13</v>
      </c>
      <c r="F3" s="1" t="s">
        <v>76</v>
      </c>
      <c r="H3" s="60">
        <v>0.13</v>
      </c>
      <c r="K3" s="87" t="s">
        <v>110</v>
      </c>
      <c r="M3" s="61">
        <f>$H$4</f>
        <v>13500</v>
      </c>
      <c r="N3" s="61">
        <f t="shared" ref="N3:P3" si="0">$H$4</f>
        <v>13500</v>
      </c>
      <c r="O3" s="61">
        <f t="shared" si="0"/>
        <v>13500</v>
      </c>
      <c r="P3" s="61">
        <f t="shared" si="0"/>
        <v>13500</v>
      </c>
    </row>
    <row r="4" spans="1:16" x14ac:dyDescent="0.25">
      <c r="B4" s="60">
        <v>1.4999999999999999E-2</v>
      </c>
      <c r="F4" s="1" t="s">
        <v>77</v>
      </c>
      <c r="H4" s="61">
        <v>13500</v>
      </c>
      <c r="K4" s="87" t="s">
        <v>111</v>
      </c>
      <c r="M4" s="1">
        <f>M3*12</f>
        <v>162000</v>
      </c>
      <c r="N4" s="1">
        <f t="shared" ref="N4:P4" si="1">N3*12</f>
        <v>162000</v>
      </c>
      <c r="O4" s="1">
        <f t="shared" si="1"/>
        <v>162000</v>
      </c>
      <c r="P4" s="1">
        <f t="shared" si="1"/>
        <v>162000</v>
      </c>
    </row>
    <row r="5" spans="1:16" x14ac:dyDescent="0.25">
      <c r="B5" s="1" t="s">
        <v>92</v>
      </c>
      <c r="F5" s="1" t="s">
        <v>79</v>
      </c>
      <c r="H5" s="59">
        <v>48</v>
      </c>
      <c r="K5" s="87" t="s">
        <v>106</v>
      </c>
      <c r="M5" s="61">
        <f>$H$7/4</f>
        <v>37000</v>
      </c>
      <c r="N5" s="61">
        <f t="shared" ref="N5:P5" si="2">$H$7/4</f>
        <v>37000</v>
      </c>
      <c r="O5" s="61">
        <f t="shared" si="2"/>
        <v>37000</v>
      </c>
      <c r="P5" s="61">
        <f t="shared" si="2"/>
        <v>37000</v>
      </c>
    </row>
    <row r="6" spans="1:16" x14ac:dyDescent="0.25">
      <c r="B6" s="1" t="s">
        <v>93</v>
      </c>
      <c r="F6" s="1" t="s">
        <v>78</v>
      </c>
      <c r="H6" s="61">
        <f>H5*H4</f>
        <v>648000</v>
      </c>
      <c r="K6" s="87" t="s">
        <v>107</v>
      </c>
      <c r="M6" s="61">
        <f>'Savings 2'!$N$16</f>
        <v>7500</v>
      </c>
      <c r="N6" s="61">
        <f>'Savings 2'!$N$16</f>
        <v>7500</v>
      </c>
      <c r="O6" s="61">
        <f>'Savings 2'!$N$16</f>
        <v>7500</v>
      </c>
      <c r="P6" s="61">
        <f>'Savings 2'!$N$16</f>
        <v>7500</v>
      </c>
    </row>
    <row r="7" spans="1:16" x14ac:dyDescent="0.25">
      <c r="B7" s="1" t="s">
        <v>94</v>
      </c>
      <c r="F7" s="1" t="s">
        <v>80</v>
      </c>
      <c r="H7" s="61">
        <f>H6-H2</f>
        <v>148000</v>
      </c>
      <c r="K7" s="87" t="s">
        <v>108</v>
      </c>
      <c r="M7" s="1">
        <f>M6*12</f>
        <v>90000</v>
      </c>
      <c r="N7" s="1">
        <f t="shared" ref="N7:P7" si="3">N6*12</f>
        <v>90000</v>
      </c>
      <c r="O7" s="1">
        <f t="shared" si="3"/>
        <v>90000</v>
      </c>
      <c r="P7" s="1">
        <f t="shared" si="3"/>
        <v>90000</v>
      </c>
    </row>
    <row r="8" spans="1:16" x14ac:dyDescent="0.25">
      <c r="B8" s="1" t="s">
        <v>95</v>
      </c>
      <c r="F8" s="1" t="s">
        <v>90</v>
      </c>
      <c r="H8" s="58">
        <f>H7/48</f>
        <v>3083.3333333333335</v>
      </c>
      <c r="K8" s="87" t="s">
        <v>109</v>
      </c>
      <c r="M8" s="61">
        <f>M7-M5</f>
        <v>53000</v>
      </c>
      <c r="N8" s="61">
        <f t="shared" ref="N8:P8" si="4">N7-N5</f>
        <v>53000</v>
      </c>
      <c r="O8" s="61">
        <f t="shared" si="4"/>
        <v>53000</v>
      </c>
      <c r="P8" s="61">
        <f t="shared" si="4"/>
        <v>53000</v>
      </c>
    </row>
    <row r="9" spans="1:16" x14ac:dyDescent="0.25">
      <c r="B9" s="1" t="s">
        <v>100</v>
      </c>
      <c r="F9" s="1" t="s">
        <v>81</v>
      </c>
      <c r="H9" s="1">
        <v>20</v>
      </c>
    </row>
    <row r="10" spans="1:16" x14ac:dyDescent="0.25">
      <c r="B10" s="1" t="s">
        <v>96</v>
      </c>
      <c r="F10" s="1" t="s">
        <v>86</v>
      </c>
      <c r="H10" s="61">
        <f>(H2*H3*H9)/(365+(H3*H9))</f>
        <v>3536.4526659412404</v>
      </c>
    </row>
    <row r="11" spans="1:16" x14ac:dyDescent="0.25">
      <c r="B11" s="1" t="s">
        <v>97</v>
      </c>
      <c r="F11" s="1" t="s">
        <v>82</v>
      </c>
      <c r="H11" s="61">
        <f>H2*H3*(30/365)</f>
        <v>5342.4657534246571</v>
      </c>
    </row>
    <row r="12" spans="1:16" x14ac:dyDescent="0.25">
      <c r="B12" s="1" t="s">
        <v>98</v>
      </c>
      <c r="F12" s="1" t="s">
        <v>83</v>
      </c>
      <c r="H12" s="84">
        <v>0.02</v>
      </c>
      <c r="L12" s="1" t="s">
        <v>113</v>
      </c>
      <c r="M12" s="61">
        <f>'Savings 2'!S13-HDFC!H7</f>
        <v>14400</v>
      </c>
    </row>
    <row r="13" spans="1:16" x14ac:dyDescent="0.25">
      <c r="A13" s="1" t="s">
        <v>112</v>
      </c>
      <c r="B13" s="1" t="s">
        <v>99</v>
      </c>
      <c r="F13" s="130" t="s">
        <v>84</v>
      </c>
      <c r="G13" s="86"/>
      <c r="H13" s="132">
        <v>1</v>
      </c>
    </row>
    <row r="14" spans="1:16" x14ac:dyDescent="0.25">
      <c r="B14" s="84">
        <v>0.04</v>
      </c>
      <c r="F14" s="130"/>
      <c r="G14" s="86"/>
      <c r="H14" s="132"/>
    </row>
    <row r="15" spans="1:16" x14ac:dyDescent="0.25">
      <c r="B15" s="84">
        <v>0.03</v>
      </c>
      <c r="F15" s="130" t="s">
        <v>85</v>
      </c>
      <c r="G15" s="86"/>
      <c r="H15" s="133">
        <v>0</v>
      </c>
    </row>
    <row r="16" spans="1:16" x14ac:dyDescent="0.25">
      <c r="B16" s="84">
        <v>0.02</v>
      </c>
      <c r="F16" s="130"/>
      <c r="G16" s="86"/>
      <c r="H16" s="133"/>
    </row>
    <row r="17" spans="2:2" x14ac:dyDescent="0.25">
      <c r="B17" s="1" t="s">
        <v>101</v>
      </c>
    </row>
  </sheetData>
  <mergeCells count="4">
    <mergeCell ref="F13:F14"/>
    <mergeCell ref="H13:H14"/>
    <mergeCell ref="F15:F16"/>
    <mergeCell ref="H15:H16"/>
  </mergeCells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1:R25"/>
  <sheetViews>
    <sheetView zoomScale="90" zoomScaleNormal="90" workbookViewId="0">
      <selection activeCell="K16" sqref="K16"/>
    </sheetView>
  </sheetViews>
  <sheetFormatPr defaultRowHeight="15" x14ac:dyDescent="0.25"/>
  <cols>
    <col min="1" max="1" width="9.140625" style="1"/>
    <col min="2" max="2" width="10.28515625" style="1" bestFit="1" customWidth="1"/>
    <col min="3" max="8" width="9.140625" style="1"/>
    <col min="9" max="9" width="14.85546875" style="1" bestFit="1" customWidth="1"/>
    <col min="10" max="10" width="14.85546875" style="1" customWidth="1"/>
    <col min="11" max="11" width="11.85546875" style="1" bestFit="1" customWidth="1"/>
    <col min="12" max="13" width="11.85546875" style="1" customWidth="1"/>
    <col min="14" max="14" width="13.140625" style="1" bestFit="1" customWidth="1"/>
    <col min="15" max="16384" width="9.140625" style="1"/>
  </cols>
  <sheetData>
    <row r="1" spans="5:18" ht="15.75" thickBot="1" x14ac:dyDescent="0.3"/>
    <row r="2" spans="5:18" ht="19.5" thickBot="1" x14ac:dyDescent="0.3">
      <c r="I2" s="100" t="s">
        <v>62</v>
      </c>
      <c r="J2" s="106" t="s">
        <v>141</v>
      </c>
      <c r="K2" s="52" t="s">
        <v>52</v>
      </c>
      <c r="L2" s="53" t="s">
        <v>73</v>
      </c>
      <c r="M2" s="53" t="s">
        <v>135</v>
      </c>
      <c r="N2" s="54" t="s">
        <v>69</v>
      </c>
    </row>
    <row r="3" spans="5:18" x14ac:dyDescent="0.25">
      <c r="I3" s="101" t="s">
        <v>63</v>
      </c>
      <c r="J3" s="105" t="s">
        <v>128</v>
      </c>
      <c r="K3" s="114">
        <v>70000</v>
      </c>
      <c r="L3" s="116">
        <v>40000</v>
      </c>
      <c r="M3" s="116">
        <v>80000</v>
      </c>
      <c r="N3" s="51">
        <f>SUM(K3:L3)</f>
        <v>110000</v>
      </c>
      <c r="P3" s="1" t="s">
        <v>132</v>
      </c>
      <c r="R3" s="1">
        <v>80000</v>
      </c>
    </row>
    <row r="4" spans="5:18" x14ac:dyDescent="0.25">
      <c r="I4" s="102" t="s">
        <v>66</v>
      </c>
      <c r="J4" s="104" t="s">
        <v>130</v>
      </c>
      <c r="K4" s="49">
        <v>30000</v>
      </c>
      <c r="L4" s="47">
        <v>5000</v>
      </c>
      <c r="M4" s="47"/>
      <c r="N4" s="46">
        <f t="shared" ref="N4:N23" si="0">SUM(K4:L4)</f>
        <v>35000</v>
      </c>
    </row>
    <row r="5" spans="5:18" x14ac:dyDescent="0.25">
      <c r="I5" s="102" t="s">
        <v>64</v>
      </c>
      <c r="J5" s="104" t="s">
        <v>130</v>
      </c>
      <c r="K5" s="49">
        <v>20000</v>
      </c>
      <c r="L5" s="47">
        <v>2500</v>
      </c>
      <c r="M5" s="47"/>
      <c r="N5" s="46">
        <f t="shared" si="0"/>
        <v>22500</v>
      </c>
    </row>
    <row r="6" spans="5:18" x14ac:dyDescent="0.25">
      <c r="I6" s="102" t="s">
        <v>65</v>
      </c>
      <c r="J6" s="104" t="s">
        <v>130</v>
      </c>
      <c r="K6" s="49">
        <v>25000</v>
      </c>
      <c r="L6" s="47">
        <v>2500</v>
      </c>
      <c r="M6" s="47">
        <v>5000</v>
      </c>
      <c r="N6" s="46">
        <f t="shared" si="0"/>
        <v>27500</v>
      </c>
    </row>
    <row r="7" spans="5:18" x14ac:dyDescent="0.25">
      <c r="I7" s="102" t="s">
        <v>70</v>
      </c>
      <c r="J7" s="104" t="s">
        <v>130</v>
      </c>
      <c r="K7" s="49">
        <v>70000</v>
      </c>
      <c r="L7" s="47">
        <v>10000</v>
      </c>
      <c r="M7" s="47"/>
      <c r="N7" s="46">
        <f t="shared" si="0"/>
        <v>80000</v>
      </c>
    </row>
    <row r="8" spans="5:18" x14ac:dyDescent="0.25">
      <c r="I8" s="102" t="s">
        <v>71</v>
      </c>
      <c r="J8" s="104" t="s">
        <v>130</v>
      </c>
      <c r="K8" s="49">
        <v>110000</v>
      </c>
      <c r="L8" s="47">
        <v>10000</v>
      </c>
      <c r="M8" s="47"/>
      <c r="N8" s="46">
        <f t="shared" si="0"/>
        <v>120000</v>
      </c>
    </row>
    <row r="9" spans="5:18" x14ac:dyDescent="0.25">
      <c r="I9" s="102" t="s">
        <v>72</v>
      </c>
      <c r="J9" s="104" t="s">
        <v>130</v>
      </c>
      <c r="K9" s="49">
        <v>20000</v>
      </c>
      <c r="L9" s="47">
        <v>0</v>
      </c>
      <c r="M9" s="47"/>
      <c r="N9" s="46">
        <f t="shared" si="0"/>
        <v>20000</v>
      </c>
    </row>
    <row r="10" spans="5:18" x14ac:dyDescent="0.25">
      <c r="I10" s="102" t="s">
        <v>67</v>
      </c>
      <c r="J10" s="104" t="s">
        <v>128</v>
      </c>
      <c r="K10" s="49">
        <v>100000</v>
      </c>
      <c r="L10" s="47">
        <v>0</v>
      </c>
      <c r="M10" s="47">
        <v>100000</v>
      </c>
      <c r="N10" s="46">
        <f t="shared" si="0"/>
        <v>100000</v>
      </c>
    </row>
    <row r="11" spans="5:18" x14ac:dyDescent="0.25">
      <c r="I11" s="102" t="s">
        <v>68</v>
      </c>
      <c r="J11" s="104" t="s">
        <v>128</v>
      </c>
      <c r="K11" s="49">
        <v>25000</v>
      </c>
      <c r="L11" s="47">
        <v>0</v>
      </c>
      <c r="M11" s="47">
        <v>25000</v>
      </c>
      <c r="N11" s="46">
        <f t="shared" si="0"/>
        <v>25000</v>
      </c>
    </row>
    <row r="12" spans="5:18" x14ac:dyDescent="0.25">
      <c r="I12" s="102" t="s">
        <v>131</v>
      </c>
      <c r="J12" s="104" t="s">
        <v>128</v>
      </c>
      <c r="K12" s="49">
        <v>172000</v>
      </c>
      <c r="L12" s="47">
        <v>0</v>
      </c>
      <c r="M12" s="47">
        <v>172000</v>
      </c>
      <c r="N12" s="46">
        <f t="shared" si="0"/>
        <v>172000</v>
      </c>
    </row>
    <row r="13" spans="5:18" x14ac:dyDescent="0.25">
      <c r="I13" s="102" t="s">
        <v>129</v>
      </c>
      <c r="J13" s="104" t="s">
        <v>128</v>
      </c>
      <c r="K13" s="115">
        <v>4500</v>
      </c>
      <c r="L13" s="47">
        <v>0</v>
      </c>
      <c r="M13" s="47">
        <v>4500</v>
      </c>
      <c r="N13" s="46">
        <f t="shared" si="0"/>
        <v>4500</v>
      </c>
    </row>
    <row r="14" spans="5:18" x14ac:dyDescent="0.25">
      <c r="E14" s="1">
        <v>7662</v>
      </c>
      <c r="I14" s="102" t="s">
        <v>136</v>
      </c>
      <c r="J14" s="104" t="s">
        <v>128</v>
      </c>
      <c r="K14" s="49">
        <v>6000</v>
      </c>
      <c r="L14" s="47">
        <v>0</v>
      </c>
      <c r="M14" s="47">
        <v>1000</v>
      </c>
      <c r="N14" s="46">
        <f t="shared" si="0"/>
        <v>6000</v>
      </c>
    </row>
    <row r="15" spans="5:18" x14ac:dyDescent="0.25">
      <c r="E15" s="1">
        <v>1800</v>
      </c>
      <c r="I15" s="102" t="s">
        <v>137</v>
      </c>
      <c r="J15" s="104" t="s">
        <v>128</v>
      </c>
      <c r="K15" s="49">
        <v>4000</v>
      </c>
      <c r="L15" s="47">
        <f>3700+2000</f>
        <v>5700</v>
      </c>
      <c r="M15" s="47">
        <v>0</v>
      </c>
      <c r="N15" s="46">
        <f t="shared" si="0"/>
        <v>9700</v>
      </c>
    </row>
    <row r="16" spans="5:18" x14ac:dyDescent="0.25">
      <c r="E16" s="1">
        <v>1200</v>
      </c>
      <c r="I16" s="102" t="s">
        <v>138</v>
      </c>
      <c r="J16" s="104" t="s">
        <v>128</v>
      </c>
      <c r="K16" s="49">
        <v>7000</v>
      </c>
      <c r="L16" s="47">
        <v>0</v>
      </c>
      <c r="M16" s="47">
        <v>0</v>
      </c>
      <c r="N16" s="46">
        <f t="shared" si="0"/>
        <v>7000</v>
      </c>
    </row>
    <row r="17" spans="5:15" x14ac:dyDescent="0.25">
      <c r="E17" s="1">
        <v>692</v>
      </c>
      <c r="I17" s="102" t="s">
        <v>139</v>
      </c>
      <c r="J17" s="104" t="s">
        <v>130</v>
      </c>
      <c r="K17" s="49">
        <v>2400</v>
      </c>
      <c r="L17" s="47">
        <v>0</v>
      </c>
      <c r="M17" s="47">
        <v>1000</v>
      </c>
      <c r="N17" s="46">
        <f t="shared" si="0"/>
        <v>2400</v>
      </c>
    </row>
    <row r="18" spans="5:15" x14ac:dyDescent="0.25">
      <c r="E18" s="1">
        <v>3848</v>
      </c>
      <c r="I18" s="102" t="s">
        <v>140</v>
      </c>
      <c r="J18" s="104" t="s">
        <v>128</v>
      </c>
      <c r="K18" s="49">
        <f>E23</f>
        <v>20737</v>
      </c>
      <c r="L18" s="47">
        <v>0</v>
      </c>
      <c r="M18" s="47">
        <v>0</v>
      </c>
      <c r="N18" s="46">
        <f t="shared" si="0"/>
        <v>20737</v>
      </c>
    </row>
    <row r="19" spans="5:15" x14ac:dyDescent="0.25">
      <c r="E19" s="1">
        <v>5535</v>
      </c>
      <c r="I19" s="102" t="s">
        <v>142</v>
      </c>
      <c r="J19" s="104" t="s">
        <v>128</v>
      </c>
      <c r="K19" s="49">
        <v>25000</v>
      </c>
      <c r="L19" s="47">
        <v>0</v>
      </c>
      <c r="M19" s="47">
        <v>0</v>
      </c>
      <c r="N19" s="46">
        <f t="shared" si="0"/>
        <v>25000</v>
      </c>
    </row>
    <row r="20" spans="5:15" x14ac:dyDescent="0.25">
      <c r="I20" s="102"/>
      <c r="J20" s="104"/>
      <c r="K20" s="49"/>
      <c r="L20" s="47"/>
      <c r="M20" s="47"/>
      <c r="N20" s="46">
        <f t="shared" si="0"/>
        <v>0</v>
      </c>
    </row>
    <row r="21" spans="5:15" x14ac:dyDescent="0.25">
      <c r="I21" s="102"/>
      <c r="J21" s="104"/>
      <c r="K21" s="49"/>
      <c r="L21" s="47"/>
      <c r="M21" s="47"/>
      <c r="N21" s="46">
        <f t="shared" si="0"/>
        <v>0</v>
      </c>
    </row>
    <row r="22" spans="5:15" x14ac:dyDescent="0.25">
      <c r="I22" s="102"/>
      <c r="J22" s="104"/>
      <c r="K22" s="49"/>
      <c r="L22" s="47"/>
      <c r="M22" s="47"/>
      <c r="N22" s="46">
        <f t="shared" si="0"/>
        <v>0</v>
      </c>
    </row>
    <row r="23" spans="5:15" ht="15.75" thickBot="1" x14ac:dyDescent="0.3">
      <c r="E23" s="1">
        <f>SUM(E14:E22)</f>
        <v>20737</v>
      </c>
      <c r="I23" s="103"/>
      <c r="J23" s="107"/>
      <c r="K23" s="50"/>
      <c r="L23" s="48"/>
      <c r="M23" s="48"/>
      <c r="N23" s="108">
        <f t="shared" si="0"/>
        <v>0</v>
      </c>
    </row>
    <row r="24" spans="5:15" ht="15.75" thickBot="1" x14ac:dyDescent="0.3">
      <c r="H24" s="134" t="s">
        <v>69</v>
      </c>
      <c r="I24" s="24" t="s">
        <v>133</v>
      </c>
      <c r="J24" s="113"/>
      <c r="K24" s="55">
        <f>SUM(K3:K23)</f>
        <v>711637</v>
      </c>
      <c r="L24" s="56">
        <f>SUM(L3:L23)</f>
        <v>75700</v>
      </c>
      <c r="M24" s="56">
        <f>SUM(M3:M23)</f>
        <v>388500</v>
      </c>
      <c r="N24" s="57">
        <f>SUM(N3:N23)</f>
        <v>787337</v>
      </c>
    </row>
    <row r="25" spans="5:15" ht="15.75" thickBot="1" x14ac:dyDescent="0.3">
      <c r="H25" s="135"/>
      <c r="I25" s="24" t="s">
        <v>134</v>
      </c>
      <c r="J25" s="109"/>
      <c r="K25" s="110">
        <f>SUM(K3:K23)-K12</f>
        <v>539637</v>
      </c>
      <c r="L25" s="111">
        <f>SUM(L3:L23)-L12</f>
        <v>75700</v>
      </c>
      <c r="M25" s="111">
        <f>SUM(M3:M11,M13:M23)</f>
        <v>216500</v>
      </c>
      <c r="N25" s="112">
        <f>SUM(N3:N23)-N12</f>
        <v>615337</v>
      </c>
      <c r="O25" s="1">
        <f>SUM(N3:N23)-K3-K12-K13</f>
        <v>540837</v>
      </c>
    </row>
  </sheetData>
  <mergeCells count="1">
    <mergeCell ref="H24:H25"/>
  </mergeCells>
  <conditionalFormatting sqref="J3:J23">
    <cfRule type="containsText" dxfId="0" priority="2" operator="containsText" text="Yes">
      <formula>NOT(ISERROR(SEARCH("Yes",J3)))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Payslip</vt:lpstr>
      <vt:lpstr>Sheet2</vt:lpstr>
      <vt:lpstr>Calculation</vt:lpstr>
      <vt:lpstr>Savings 1</vt:lpstr>
      <vt:lpstr>Savings 2</vt:lpstr>
      <vt:lpstr>PL</vt:lpstr>
      <vt:lpstr>HDFC</vt:lpstr>
      <vt:lpstr>SIS Wedding</vt:lpstr>
    </vt:vector>
  </TitlesOfParts>
  <Company>Ugam Solutions Pvt.Ltd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Lowe's Companies, Inc.</cp:lastModifiedBy>
  <dcterms:created xsi:type="dcterms:W3CDTF">2015-11-03T06:30:52Z</dcterms:created>
  <dcterms:modified xsi:type="dcterms:W3CDTF">2016-12-01T07:23:03Z</dcterms:modified>
</cp:coreProperties>
</file>