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1365" windowWidth="20730" windowHeight="11760"/>
  </bookViews>
  <sheets>
    <sheet name="CareCar Statements" sheetId="1" r:id="rId1"/>
    <sheet name="CareCar Balance Sheet" sheetId="2" r:id="rId2"/>
    <sheet name="CareCar Charts" sheetId="3" r:id="rId3"/>
    <sheet name="CareCare Loan Paid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F19" i="4"/>
  <c r="P18" i="4"/>
  <c r="P19" i="4" s="1"/>
  <c r="G18" i="4"/>
  <c r="E19" i="4" s="1"/>
  <c r="G19" i="4" s="1"/>
  <c r="E20" i="4" s="1"/>
  <c r="F18" i="4"/>
  <c r="P5" i="4"/>
  <c r="P6" i="4" s="1"/>
  <c r="P7" i="4" s="1"/>
  <c r="P4" i="4"/>
  <c r="Q4" i="4" s="1"/>
  <c r="O5" i="4" s="1"/>
  <c r="Q5" i="4" s="1"/>
  <c r="O6" i="4" s="1"/>
  <c r="F4" i="4"/>
  <c r="G4" i="4" s="1"/>
  <c r="E5" i="4" s="1"/>
  <c r="G5" i="4" l="1"/>
  <c r="E6" i="4" s="1"/>
  <c r="Q6" i="4"/>
  <c r="O7" i="4" s="1"/>
  <c r="Q7" i="4" s="1"/>
  <c r="P24" i="4"/>
  <c r="P20" i="4"/>
  <c r="P21" i="4" s="1"/>
  <c r="Q18" i="4"/>
  <c r="O19" i="4" s="1"/>
  <c r="Q19" i="4" s="1"/>
  <c r="O20" i="4" s="1"/>
  <c r="Q20" i="4" s="1"/>
  <c r="O21" i="4" s="1"/>
  <c r="Q21" i="4" s="1"/>
  <c r="F20" i="4"/>
  <c r="F21" i="4" s="1"/>
  <c r="F22" i="4" s="1"/>
  <c r="F5" i="4"/>
  <c r="F6" i="4" s="1"/>
  <c r="F7" i="4" s="1"/>
  <c r="F8" i="4" s="1"/>
  <c r="P10" i="4"/>
  <c r="B35" i="2"/>
  <c r="B22" i="2"/>
  <c r="B2" i="2"/>
  <c r="D27" i="3"/>
  <c r="I7" i="1"/>
  <c r="B9" i="1"/>
  <c r="B8" i="1"/>
  <c r="C17" i="1"/>
  <c r="F19" i="1"/>
  <c r="E13" i="1"/>
  <c r="F11" i="4" l="1"/>
  <c r="G6" i="4"/>
  <c r="E7" i="4" s="1"/>
  <c r="G7" i="4" s="1"/>
  <c r="E8" i="4" s="1"/>
  <c r="G8" i="4" s="1"/>
  <c r="G20" i="4"/>
  <c r="E21" i="4" s="1"/>
  <c r="G21" i="4" s="1"/>
  <c r="E22" i="4" s="1"/>
  <c r="G22" i="4" s="1"/>
  <c r="F25" i="4"/>
  <c r="E6" i="1"/>
  <c r="I6" i="1"/>
  <c r="A2" i="1"/>
  <c r="H2" i="1"/>
  <c r="B11" i="1" l="1"/>
  <c r="H38" i="2" l="1"/>
  <c r="G45" i="2"/>
  <c r="G44" i="2"/>
  <c r="G43" i="2"/>
  <c r="G39" i="2"/>
  <c r="G38" i="2"/>
  <c r="G37" i="2"/>
  <c r="H41" i="2"/>
  <c r="H43" i="2" s="1"/>
  <c r="G36" i="2"/>
  <c r="C15" i="2"/>
  <c r="I6" i="2"/>
  <c r="C8" i="2"/>
  <c r="A11" i="1"/>
  <c r="I7" i="2" l="1"/>
  <c r="H44" i="2"/>
  <c r="H45" i="2" s="1"/>
  <c r="A9" i="1"/>
  <c r="C16" i="2" l="1"/>
  <c r="C10" i="2"/>
  <c r="I9" i="2"/>
  <c r="G35" i="2"/>
  <c r="B8" i="2"/>
  <c r="B19" i="2"/>
  <c r="B15" i="2"/>
  <c r="B14" i="2"/>
  <c r="B13" i="2"/>
  <c r="B16" i="2"/>
  <c r="F15" i="2"/>
  <c r="F10" i="2"/>
  <c r="H9" i="2"/>
  <c r="H7" i="2"/>
  <c r="H6" i="2"/>
  <c r="H5" i="2"/>
  <c r="E17" i="2"/>
  <c r="E15" i="2"/>
  <c r="E13" i="2"/>
  <c r="E10" i="2"/>
  <c r="G21" i="2"/>
  <c r="E14" i="2"/>
  <c r="E9" i="2"/>
  <c r="E8" i="2"/>
  <c r="E7" i="2"/>
  <c r="E6" i="2"/>
  <c r="E5" i="2"/>
  <c r="B10" i="2"/>
  <c r="B9" i="2"/>
  <c r="B5" i="2"/>
  <c r="B7" i="2"/>
  <c r="B6" i="2"/>
  <c r="H11" i="1"/>
  <c r="I8" i="1"/>
  <c r="I11" i="1" s="1"/>
  <c r="I13" i="1" s="1"/>
  <c r="H8" i="1"/>
  <c r="H15" i="1"/>
  <c r="H14" i="1"/>
  <c r="H13" i="1"/>
  <c r="H12" i="1"/>
  <c r="H10" i="1"/>
  <c r="H9" i="1"/>
  <c r="H7" i="1"/>
  <c r="H6" i="1"/>
  <c r="A23" i="1"/>
  <c r="C21" i="1"/>
  <c r="A20" i="1"/>
  <c r="A19" i="1"/>
  <c r="A21" i="1"/>
  <c r="A16" i="1"/>
  <c r="A17" i="1"/>
  <c r="A15" i="1"/>
  <c r="A14" i="1"/>
  <c r="C12" i="1"/>
  <c r="A12" i="1"/>
  <c r="A10" i="1"/>
  <c r="A8" i="1"/>
  <c r="A7" i="1"/>
  <c r="A6" i="1"/>
  <c r="C19" i="2" l="1"/>
  <c r="L27" i="2" s="1"/>
  <c r="L35" i="2" s="1"/>
  <c r="I14" i="1"/>
  <c r="I15" i="1" s="1"/>
  <c r="C23" i="1"/>
  <c r="F17" i="2"/>
  <c r="H21" i="2" s="1"/>
  <c r="C35" i="2" l="1"/>
</calcChain>
</file>

<file path=xl/sharedStrings.xml><?xml version="1.0" encoding="utf-8"?>
<sst xmlns="http://schemas.openxmlformats.org/spreadsheetml/2006/main" count="77" uniqueCount="45">
  <si>
    <t xml:space="preserve">Note: units in Thounsands </t>
  </si>
  <si>
    <t xml:space="preserve"> </t>
  </si>
  <si>
    <t>Owner makes capital contributions of 862K SAR</t>
  </si>
  <si>
    <t xml:space="preserve">Spend 330k on car clean equipment </t>
  </si>
  <si>
    <t xml:space="preserve">Spend 500k on employee salaries </t>
  </si>
  <si>
    <t xml:space="preserve">Spend 12k on car clean suppliers </t>
  </si>
  <si>
    <t>Spend 20k on car clean app devlopment</t>
  </si>
  <si>
    <t xml:space="preserve">Makes $250 from Regular Washing </t>
  </si>
  <si>
    <t>Makes $250 from Steam Washing</t>
  </si>
  <si>
    <t>Makes $250 from Inside cleaning</t>
  </si>
  <si>
    <t>Uses third of its cleaning supplies</t>
  </si>
  <si>
    <t xml:space="preserve">Pay Investors </t>
  </si>
  <si>
    <t xml:space="preserve">Bond Interst </t>
  </si>
  <si>
    <t xml:space="preserve">Total loan </t>
  </si>
  <si>
    <t>Pay Investors</t>
  </si>
  <si>
    <t>CARE CAR</t>
  </si>
  <si>
    <t>Regular Washing Service</t>
  </si>
  <si>
    <t>Steam Washing Service</t>
  </si>
  <si>
    <t>Inside cleaning Service</t>
  </si>
  <si>
    <t>Sterilization Service</t>
  </si>
  <si>
    <t>App Maintenance</t>
  </si>
  <si>
    <t xml:space="preserve">Employee Salaries </t>
  </si>
  <si>
    <t xml:space="preserve">Equipments </t>
  </si>
  <si>
    <t xml:space="preserve">Suppliers </t>
  </si>
  <si>
    <t>Total</t>
  </si>
  <si>
    <t>Starting cash on hand</t>
  </si>
  <si>
    <t>Bond Rate</t>
  </si>
  <si>
    <t>interest</t>
  </si>
  <si>
    <t>Year</t>
  </si>
  <si>
    <t>Loan</t>
  </si>
  <si>
    <t>Loan Paid</t>
  </si>
  <si>
    <t>Remaining</t>
  </si>
  <si>
    <t>Market Share in 2022</t>
  </si>
  <si>
    <t>Market Share over Time</t>
  </si>
  <si>
    <t>TM App</t>
  </si>
  <si>
    <t>gslh App</t>
  </si>
  <si>
    <t>Washy Car App</t>
  </si>
  <si>
    <t>Operating Profit</t>
  </si>
  <si>
    <t>CareCar app</t>
  </si>
  <si>
    <t>Avg Pay</t>
  </si>
  <si>
    <t>CareCar App</t>
  </si>
  <si>
    <t>Case 1</t>
  </si>
  <si>
    <t>Case 3</t>
  </si>
  <si>
    <t>Case 2</t>
  </si>
  <si>
    <t>Case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</si>
</sst>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[$SAR]\ #,##0.00"/>
    <numFmt numFmtId="165" formatCode="_(&quot;$&quot;* #,##0.0_);_(&quot;$&quot;* \(#,##0.0\);_(&quot;$&quot;* &quot;-&quot;??_);_(@_)"/>
    <numFmt numFmtId="166" formatCode="[$SAR]\ #,##0"/>
    <numFmt numFmtId="167" formatCode="[$SAR]\ #,##0.0"/>
    <numFmt numFmtId="170" formatCode="[$SAR]\ #,##0;[Red][$SAR]\ 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202124"/>
      <name val="Calibri"/>
      <family val="2"/>
      <scheme val="minor"/>
    </font>
    <font>
      <sz val="12"/>
      <color rgb="FF20212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44" fontId="0" fillId="0" borderId="0" xfId="1" applyFont="1"/>
    <xf numFmtId="0" fontId="3" fillId="0" borderId="0" xfId="0" applyFont="1"/>
    <xf numFmtId="0" fontId="4" fillId="0" borderId="0" xfId="0" applyFont="1"/>
    <xf numFmtId="9" fontId="0" fillId="0" borderId="0" xfId="0" applyNumberFormat="1"/>
    <xf numFmtId="9" fontId="0" fillId="0" borderId="0" xfId="2" applyFon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applyFont="1"/>
    <xf numFmtId="0" fontId="0" fillId="0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5" fillId="4" borderId="0" xfId="0" applyFont="1" applyFill="1" applyAlignment="1">
      <alignment horizontal="left" vertical="center"/>
    </xf>
    <xf numFmtId="166" fontId="0" fillId="0" borderId="0" xfId="0" applyNumberFormat="1" applyFont="1"/>
    <xf numFmtId="0" fontId="0" fillId="0" borderId="0" xfId="0" applyFont="1" applyFill="1"/>
    <xf numFmtId="0" fontId="6" fillId="0" borderId="0" xfId="0" applyFont="1"/>
    <xf numFmtId="0" fontId="0" fillId="0" borderId="0" xfId="0" applyFont="1" applyFill="1" applyAlignment="1">
      <alignment horizontal="left" vertical="center" indent="8"/>
    </xf>
    <xf numFmtId="44" fontId="0" fillId="0" borderId="0" xfId="1" applyFont="1" applyFill="1"/>
    <xf numFmtId="166" fontId="0" fillId="0" borderId="0" xfId="1" applyNumberFormat="1" applyFont="1" applyFill="1"/>
    <xf numFmtId="0" fontId="0" fillId="0" borderId="0" xfId="1" applyNumberFormat="1" applyFont="1" applyFill="1"/>
    <xf numFmtId="0" fontId="7" fillId="3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4" borderId="0" xfId="0" applyNumberFormat="1" applyFill="1"/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70" fontId="0" fillId="0" borderId="0" xfId="0" applyNumberFormat="1"/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Market Share</a:t>
            </a:r>
            <a:r>
              <a:rPr lang="ar-SA" sz="1600"/>
              <a:t> </a:t>
            </a:r>
            <a:r>
              <a:rPr lang="en-US" sz="1600"/>
              <a:t>for</a:t>
            </a:r>
            <a:r>
              <a:rPr lang="en-US" sz="1600" baseline="0"/>
              <a:t> </a:t>
            </a:r>
            <a:r>
              <a:rPr lang="en-US" sz="1600" b="1" i="0" u="none" strike="noStrike" baseline="0"/>
              <a:t>Car cleaning companies in 2022</a:t>
            </a:r>
            <a:endParaRPr lang="en-US" sz="1600"/>
          </a:p>
        </c:rich>
      </c:tx>
      <c:layout>
        <c:manualLayout>
          <c:xMode val="edge"/>
          <c:yMode val="edge"/>
          <c:x val="0.14069877628932748"/>
          <c:y val="4.4846922865465752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'CareCar Charts'!$C$23:$C$26</c:f>
              <c:strCache>
                <c:ptCount val="4"/>
                <c:pt idx="0">
                  <c:v>TM App</c:v>
                </c:pt>
                <c:pt idx="1">
                  <c:v>gslh App</c:v>
                </c:pt>
                <c:pt idx="2">
                  <c:v>Washy Car App</c:v>
                </c:pt>
                <c:pt idx="3">
                  <c:v>CARE CAR</c:v>
                </c:pt>
              </c:strCache>
            </c:strRef>
          </c:cat>
          <c:val>
            <c:numRef>
              <c:f>'CareCar Charts'!$E$23:$E$26</c:f>
              <c:numCache>
                <c:formatCode>0%</c:formatCode>
                <c:ptCount val="4"/>
                <c:pt idx="0">
                  <c:v>0.3</c:v>
                </c:pt>
                <c:pt idx="1">
                  <c:v>0.4</c:v>
                </c:pt>
                <c:pt idx="2">
                  <c:v>0.1</c:v>
                </c:pt>
                <c:pt idx="3">
                  <c:v>0.2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Market Share for Car Cleaning Companies</a:t>
            </a:r>
            <a:r>
              <a:rPr lang="en-US" sz="1600" baseline="0"/>
              <a:t> </a:t>
            </a:r>
            <a:r>
              <a:rPr lang="en-US" sz="1600"/>
              <a:t>over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'CareCar Charts'!$K$24</c:f>
              <c:strCache>
                <c:ptCount val="1"/>
                <c:pt idx="0">
                  <c:v>TM App</c:v>
                </c:pt>
              </c:strCache>
            </c:strRef>
          </c:tx>
          <c:marker>
            <c:symbol val="none"/>
          </c:marker>
          <c:cat>
            <c:numRef>
              <c:f>'CareCar Charts'!$L$23:$Q$23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'CareCar Charts'!$L$24:$Q$24</c:f>
              <c:numCache>
                <c:formatCode>0%</c:formatCode>
                <c:ptCount val="6"/>
                <c:pt idx="0">
                  <c:v>0.3</c:v>
                </c:pt>
                <c:pt idx="1">
                  <c:v>0.2</c:v>
                </c:pt>
                <c:pt idx="2">
                  <c:v>0.25</c:v>
                </c:pt>
                <c:pt idx="3">
                  <c:v>0.27</c:v>
                </c:pt>
                <c:pt idx="4">
                  <c:v>0.3</c:v>
                </c:pt>
                <c:pt idx="5">
                  <c:v>0.33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'CareCar Charts'!$K$25</c:f>
              <c:strCache>
                <c:ptCount val="1"/>
                <c:pt idx="0">
                  <c:v>gslh App</c:v>
                </c:pt>
              </c:strCache>
            </c:strRef>
          </c:tx>
          <c:marker>
            <c:symbol val="none"/>
          </c:marker>
          <c:cat>
            <c:numRef>
              <c:f>'CareCar Charts'!$L$23:$Q$23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'CareCar Charts'!$L$25:$Q$25</c:f>
              <c:numCache>
                <c:formatCode>0%</c:formatCode>
                <c:ptCount val="6"/>
                <c:pt idx="0">
                  <c:v>0.4</c:v>
                </c:pt>
                <c:pt idx="1">
                  <c:v>0.44</c:v>
                </c:pt>
                <c:pt idx="2">
                  <c:v>0.5</c:v>
                </c:pt>
                <c:pt idx="3">
                  <c:v>0.49</c:v>
                </c:pt>
                <c:pt idx="4">
                  <c:v>0.55000000000000004</c:v>
                </c:pt>
                <c:pt idx="5">
                  <c:v>0.56000000000000005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'CareCar Charts'!$K$26</c:f>
              <c:strCache>
                <c:ptCount val="1"/>
                <c:pt idx="0">
                  <c:v>Washy Car App</c:v>
                </c:pt>
              </c:strCache>
            </c:strRef>
          </c:tx>
          <c:marker>
            <c:symbol val="none"/>
          </c:marker>
          <c:cat>
            <c:numRef>
              <c:f>'CareCar Charts'!$L$23:$Q$23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'CareCar Charts'!$L$26:$Q$26</c:f>
              <c:numCache>
                <c:formatCode>0%</c:formatCode>
                <c:ptCount val="6"/>
                <c:pt idx="0">
                  <c:v>0.3</c:v>
                </c:pt>
                <c:pt idx="1">
                  <c:v>0.36</c:v>
                </c:pt>
                <c:pt idx="2">
                  <c:v>0.25</c:v>
                </c:pt>
                <c:pt idx="3">
                  <c:v>0.24</c:v>
                </c:pt>
                <c:pt idx="4">
                  <c:v>0.15</c:v>
                </c:pt>
                <c:pt idx="5">
                  <c:v>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0272"/>
        <c:axId val="133736704"/>
      </c:lineChart>
      <c:catAx>
        <c:axId val="13407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736704"/>
        <c:crosses val="autoZero"/>
        <c:auto val="1"/>
        <c:lblAlgn val="ctr"/>
        <c:lblOffset val="100"/>
        <c:noMultiLvlLbl val="0"/>
      </c:catAx>
      <c:valAx>
        <c:axId val="133736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Market Share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3407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Future Market Share over five years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'CareCar Charts'!$V$24</c:f>
              <c:strCache>
                <c:ptCount val="1"/>
                <c:pt idx="0">
                  <c:v>TM App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'CareCar Charts'!$W$23:$AA$23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'CareCar Charts'!$W$24:$AA$24</c:f>
              <c:numCache>
                <c:formatCode>0%</c:formatCode>
                <c:ptCount val="5"/>
                <c:pt idx="0">
                  <c:v>0.25</c:v>
                </c:pt>
                <c:pt idx="1">
                  <c:v>0.2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'CareCar Charts'!$V$25</c:f>
              <c:strCache>
                <c:ptCount val="1"/>
                <c:pt idx="0">
                  <c:v>gslh App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'CareCar Charts'!$W$23:$AA$23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'CareCar Charts'!$W$25:$AA$25</c:f>
              <c:numCache>
                <c:formatCode>0%</c:formatCode>
                <c:ptCount val="5"/>
                <c:pt idx="0">
                  <c:v>0.4</c:v>
                </c:pt>
                <c:pt idx="1">
                  <c:v>0.42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'CareCar Charts'!$V$26</c:f>
              <c:strCache>
                <c:ptCount val="1"/>
                <c:pt idx="0">
                  <c:v>Washy Car App</c:v>
                </c:pt>
              </c:strCache>
            </c:strRef>
          </c:tx>
          <c:spPr>
            <a:ln w="28575"/>
          </c:spPr>
          <c:marker>
            <c:symbol val="none"/>
          </c:marker>
          <c:cat>
            <c:numRef>
              <c:f>'CareCar Charts'!$W$23:$AA$23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'CareCar Charts'!$W$26:$AA$26</c:f>
              <c:numCache>
                <c:formatCode>0%</c:formatCode>
                <c:ptCount val="5"/>
                <c:pt idx="0">
                  <c:v>0.1</c:v>
                </c:pt>
                <c:pt idx="1">
                  <c:v>0.08</c:v>
                </c:pt>
                <c:pt idx="2">
                  <c:v>0.09</c:v>
                </c:pt>
                <c:pt idx="3">
                  <c:v>0.05</c:v>
                </c:pt>
                <c:pt idx="4">
                  <c:v>0.09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'CareCar Charts'!$V$27</c:f>
              <c:strCache>
                <c:ptCount val="1"/>
                <c:pt idx="0">
                  <c:v>CareCar App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'CareCar Charts'!$W$23:$AA$23</c:f>
              <c:numCache>
                <c:formatCode>General</c:formatCode>
                <c:ptCount val="5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</c:numCache>
            </c:numRef>
          </c:cat>
          <c:val>
            <c:numRef>
              <c:f>'CareCar Charts'!$W$27:$AA$27</c:f>
              <c:numCache>
                <c:formatCode>0%</c:formatCode>
                <c:ptCount val="5"/>
                <c:pt idx="0">
                  <c:v>0.25</c:v>
                </c:pt>
                <c:pt idx="1">
                  <c:v>0.3</c:v>
                </c:pt>
                <c:pt idx="2">
                  <c:v>0.36</c:v>
                </c:pt>
                <c:pt idx="3">
                  <c:v>0.41</c:v>
                </c:pt>
                <c:pt idx="4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018432"/>
        <c:axId val="279484608"/>
      </c:lineChart>
      <c:catAx>
        <c:axId val="16001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Years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79484608"/>
        <c:crosses val="autoZero"/>
        <c:auto val="1"/>
        <c:lblAlgn val="ctr"/>
        <c:lblOffset val="100"/>
        <c:noMultiLvlLbl val="0"/>
      </c:catAx>
      <c:valAx>
        <c:axId val="279484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/>
                </a:pPr>
                <a:r>
                  <a:rPr lang="en-US" sz="1050"/>
                  <a:t>Market Share</a:t>
                </a:r>
              </a:p>
            </c:rich>
          </c:tx>
          <c:layout/>
          <c:overlay val="0"/>
        </c:title>
        <c:numFmt formatCode="0%" sourceLinked="1"/>
        <c:majorTickMark val="in"/>
        <c:minorTickMark val="none"/>
        <c:tickLblPos val="nextTo"/>
        <c:spPr>
          <a:ln w="12700"/>
        </c:spPr>
        <c:crossAx val="16001843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0</xdr:row>
      <xdr:rowOff>133350</xdr:rowOff>
    </xdr:from>
    <xdr:to>
      <xdr:col>7</xdr:col>
      <xdr:colOff>571500</xdr:colOff>
      <xdr:row>19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</xdr:row>
      <xdr:rowOff>19050</xdr:rowOff>
    </xdr:from>
    <xdr:to>
      <xdr:col>17</xdr:col>
      <xdr:colOff>676275</xdr:colOff>
      <xdr:row>18</xdr:row>
      <xdr:rowOff>166687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321469</xdr:colOff>
      <xdr:row>1</xdr:row>
      <xdr:rowOff>47624</xdr:rowOff>
    </xdr:from>
    <xdr:to>
      <xdr:col>29</xdr:col>
      <xdr:colOff>464343</xdr:colOff>
      <xdr:row>18</xdr:row>
      <xdr:rowOff>154780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70" zoomScaleNormal="70" workbookViewId="0">
      <selection activeCell="A16" sqref="A16"/>
    </sheetView>
  </sheetViews>
  <sheetFormatPr defaultColWidth="11" defaultRowHeight="15.75" x14ac:dyDescent="0.25"/>
  <cols>
    <col min="1" max="1" width="54.375" style="12" bestFit="1" customWidth="1"/>
    <col min="2" max="2" width="12.125" style="1" customWidth="1"/>
    <col min="3" max="3" width="11" style="1" bestFit="1"/>
    <col min="4" max="4" width="11" style="12"/>
    <col min="5" max="5" width="44.125" style="12" customWidth="1"/>
    <col min="6" max="6" width="10.875" style="1"/>
    <col min="7" max="7" width="16.125" style="1" customWidth="1"/>
    <col min="8" max="8" width="50" style="12" bestFit="1" customWidth="1"/>
    <col min="9" max="9" width="11.875" style="1" bestFit="1" customWidth="1"/>
    <col min="10" max="16384" width="11" style="12"/>
  </cols>
  <sheetData>
    <row r="1" spans="1:11" ht="28.5" x14ac:dyDescent="0.45">
      <c r="A1" s="31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 ht="23.25" x14ac:dyDescent="0.35">
      <c r="A2" s="24" t="str">
        <f>UPPER("Cash Flow Statement for year 2021")</f>
        <v>CASH FLOW STATEMENT FOR YEAR 2021</v>
      </c>
      <c r="F2" s="12"/>
      <c r="G2" s="12"/>
      <c r="H2" s="24" t="str">
        <f>UPPER("Income Statement for year 2021")</f>
        <v>INCOME STATEMENT FOR YEAR 2021</v>
      </c>
    </row>
    <row r="3" spans="1:11" x14ac:dyDescent="0.25">
      <c r="A3" s="12" t="s">
        <v>0</v>
      </c>
      <c r="F3" s="12"/>
      <c r="G3" s="12"/>
      <c r="H3" s="12" t="s">
        <v>0</v>
      </c>
    </row>
    <row r="4" spans="1:11" x14ac:dyDescent="0.25">
      <c r="A4" s="12" t="s">
        <v>25</v>
      </c>
      <c r="B4" s="8">
        <v>862</v>
      </c>
      <c r="F4" s="12"/>
      <c r="G4" s="12"/>
    </row>
    <row r="5" spans="1:11" x14ac:dyDescent="0.25">
      <c r="F5" s="12"/>
    </row>
    <row r="6" spans="1:11" x14ac:dyDescent="0.25">
      <c r="A6" s="14" t="str">
        <f>UPPER("Cash Flow From Operating Activities")</f>
        <v>CASH FLOW FROM OPERATING ACTIVITIES</v>
      </c>
      <c r="E6" s="15" t="str">
        <f>UPPER("
Our company services")</f>
        <v xml:space="preserve">
OUR COMPANY SERVICES</v>
      </c>
      <c r="F6" s="12"/>
      <c r="H6" s="18" t="str">
        <f>PROPER("Sales")</f>
        <v>Sales</v>
      </c>
      <c r="I6" s="8">
        <f>SUM(F8:F11)</f>
        <v>1000</v>
      </c>
    </row>
    <row r="7" spans="1:11" x14ac:dyDescent="0.25">
      <c r="A7" s="18" t="str">
        <f>PROPER("Cash reciepts from customers")</f>
        <v>Cash Reciepts From Customers</v>
      </c>
      <c r="B7" s="8">
        <v>1000</v>
      </c>
      <c r="C7" s="6"/>
      <c r="F7" s="12"/>
      <c r="H7" s="18" t="str">
        <f>PROPER("Cost of sales")</f>
        <v>Cost Of Sales</v>
      </c>
      <c r="I7" s="6">
        <f xml:space="preserve"> - 0.3*F17</f>
        <v>-3.5999999999999996</v>
      </c>
    </row>
    <row r="8" spans="1:11" x14ac:dyDescent="0.25">
      <c r="A8" s="18" t="str">
        <f>PROPER("Cash paid to suppliers")</f>
        <v>Cash Paid To Suppliers</v>
      </c>
      <c r="B8" s="8">
        <f xml:space="preserve"> -F14 -F17</f>
        <v>-32</v>
      </c>
      <c r="C8" s="6"/>
      <c r="E8" s="12" t="s">
        <v>16</v>
      </c>
      <c r="F8" s="17">
        <v>250</v>
      </c>
      <c r="H8" s="18" t="str">
        <f>UPPER("Gross Profits")</f>
        <v>GROSS PROFITS</v>
      </c>
      <c r="I8" s="6">
        <f>SUM(I6:I7)</f>
        <v>996.4</v>
      </c>
    </row>
    <row r="9" spans="1:11" x14ac:dyDescent="0.25">
      <c r="A9" s="18" t="str">
        <f>PROPER("Cash paid to employees")</f>
        <v>Cash Paid To Employees</v>
      </c>
      <c r="B9" s="8">
        <f xml:space="preserve"> -F15</f>
        <v>-500</v>
      </c>
      <c r="C9" s="6"/>
      <c r="E9" s="12" t="s">
        <v>17</v>
      </c>
      <c r="F9" s="17">
        <v>250</v>
      </c>
      <c r="H9" s="18" t="str">
        <f>PROPER("Salaries")</f>
        <v>Salaries</v>
      </c>
      <c r="I9" s="6">
        <v>-80</v>
      </c>
    </row>
    <row r="10" spans="1:11" x14ac:dyDescent="0.25">
      <c r="A10" s="18" t="str">
        <f>PROPER("Interest paid")</f>
        <v>Interest Paid</v>
      </c>
      <c r="B10" s="8">
        <v>0</v>
      </c>
      <c r="C10" s="6"/>
      <c r="E10" s="12" t="s">
        <v>18</v>
      </c>
      <c r="F10" s="17">
        <v>250</v>
      </c>
      <c r="H10" s="18" t="str">
        <f>PROPER("Depreciation")</f>
        <v>Depreciation</v>
      </c>
      <c r="I10" s="8">
        <v>0</v>
      </c>
    </row>
    <row r="11" spans="1:11" x14ac:dyDescent="0.25">
      <c r="A11" s="18" t="str">
        <f>PROPER("VAT")</f>
        <v>Vat</v>
      </c>
      <c r="B11" s="8">
        <f xml:space="preserve"> D14- B7*0.15</f>
        <v>-150</v>
      </c>
      <c r="C11" s="6"/>
      <c r="E11" s="12" t="s">
        <v>19</v>
      </c>
      <c r="F11" s="17">
        <v>250</v>
      </c>
      <c r="H11" s="18" t="str">
        <f>UPPER("Operating Profit")</f>
        <v>OPERATING PROFIT</v>
      </c>
      <c r="I11" s="6">
        <f>SUM(I8:I10)</f>
        <v>916.4</v>
      </c>
    </row>
    <row r="12" spans="1:11" x14ac:dyDescent="0.25">
      <c r="A12" s="18" t="str">
        <f>PROPER("net cash flow from operating expenses")</f>
        <v>Net Cash Flow From Operating Expenses</v>
      </c>
      <c r="B12" s="8"/>
      <c r="C12" s="8">
        <f>SUM(B7:B11)</f>
        <v>318</v>
      </c>
      <c r="H12" s="18" t="str">
        <f>PROPER("Interest Expense")</f>
        <v>Interest Expense</v>
      </c>
      <c r="I12" s="8">
        <v>0</v>
      </c>
    </row>
    <row r="13" spans="1:11" x14ac:dyDescent="0.25">
      <c r="B13" s="8"/>
      <c r="C13" s="8"/>
      <c r="E13" s="16" t="str">
        <f>UPPER("Operating expenses")</f>
        <v>OPERATING EXPENSES</v>
      </c>
      <c r="H13" s="18" t="str">
        <f>PROPER("Income before tax")</f>
        <v>Income Before Tax</v>
      </c>
      <c r="I13" s="6">
        <f>SUM(I11:I12)</f>
        <v>916.4</v>
      </c>
    </row>
    <row r="14" spans="1:11" x14ac:dyDescent="0.25">
      <c r="A14" s="14" t="str">
        <f>UPPER("Cash Flow From Investing Activities")</f>
        <v>CASH FLOW FROM INVESTING ACTIVITIES</v>
      </c>
      <c r="B14" s="8"/>
      <c r="C14" s="8"/>
      <c r="E14" s="19" t="s">
        <v>20</v>
      </c>
      <c r="F14" s="8">
        <v>20</v>
      </c>
      <c r="H14" s="18" t="str">
        <f>PROPER("Income tax expense")</f>
        <v>Income Tax Expense</v>
      </c>
      <c r="I14" s="6">
        <f xml:space="preserve"> 0.15*(-I13)</f>
        <v>-137.45999999999998</v>
      </c>
    </row>
    <row r="15" spans="1:11" x14ac:dyDescent="0.25">
      <c r="A15" s="18" t="str">
        <f>PROPER("Purchase of PPE")</f>
        <v>Purchase Of Ppe</v>
      </c>
      <c r="B15" s="8">
        <v>0</v>
      </c>
      <c r="C15" s="8"/>
      <c r="E15" s="12" t="s">
        <v>21</v>
      </c>
      <c r="F15" s="8">
        <v>500</v>
      </c>
      <c r="H15" s="18" t="str">
        <f>UPPER("net income")</f>
        <v>NET INCOME</v>
      </c>
      <c r="I15" s="6">
        <f>SUM(I13:I14)</f>
        <v>778.94</v>
      </c>
    </row>
    <row r="16" spans="1:11" x14ac:dyDescent="0.25">
      <c r="A16" s="18" t="str">
        <f>PROPER("Cash reciepts from sales of ppe")</f>
        <v>Cash Reciepts From Sales Of Ppe</v>
      </c>
      <c r="B16" s="8">
        <v>0</v>
      </c>
      <c r="C16" s="8"/>
      <c r="E16" s="12" t="s">
        <v>22</v>
      </c>
      <c r="F16" s="8">
        <v>330</v>
      </c>
      <c r="I16" s="21"/>
    </row>
    <row r="17" spans="1:7" x14ac:dyDescent="0.25">
      <c r="A17" s="18" t="str">
        <f>PROPER("net cash flow from operating expenses")</f>
        <v>Net Cash Flow From Operating Expenses</v>
      </c>
      <c r="B17" s="8"/>
      <c r="C17" s="8">
        <f>C19</f>
        <v>0</v>
      </c>
      <c r="E17" s="12" t="s">
        <v>23</v>
      </c>
      <c r="F17" s="8">
        <v>12</v>
      </c>
    </row>
    <row r="18" spans="1:7" x14ac:dyDescent="0.25">
      <c r="A18" s="18"/>
      <c r="B18" s="8"/>
      <c r="C18" s="8"/>
      <c r="F18" s="12"/>
    </row>
    <row r="19" spans="1:7" x14ac:dyDescent="0.25">
      <c r="A19" s="14" t="str">
        <f>UPPER("Cash Flow From Financing Activities")</f>
        <v>CASH FLOW FROM FINANCING ACTIVITIES</v>
      </c>
      <c r="B19" s="8"/>
      <c r="C19" s="8"/>
      <c r="E19" s="12" t="s">
        <v>24</v>
      </c>
      <c r="F19" s="8">
        <f xml:space="preserve"> SUM(F14:F17)</f>
        <v>862</v>
      </c>
    </row>
    <row r="20" spans="1:7" x14ac:dyDescent="0.25">
      <c r="A20" s="18" t="str">
        <f>PROPER("Proceeds from long term borrowings")</f>
        <v>Proceeds From Long Term Borrowings</v>
      </c>
      <c r="B20" s="8">
        <v>0</v>
      </c>
      <c r="C20" s="8"/>
    </row>
    <row r="21" spans="1:7" x14ac:dyDescent="0.25">
      <c r="A21" s="12" t="str">
        <f>PROPER("net cash flow from operating expenses")</f>
        <v>Net Cash Flow From Operating Expenses</v>
      </c>
      <c r="B21" s="8"/>
      <c r="C21" s="8">
        <f>SUM(B20)</f>
        <v>0</v>
      </c>
    </row>
    <row r="22" spans="1:7" x14ac:dyDescent="0.25">
      <c r="B22" s="8"/>
      <c r="C22" s="8"/>
    </row>
    <row r="23" spans="1:7" x14ac:dyDescent="0.25">
      <c r="A23" s="14" t="str">
        <f>UPPER("net increase in cash")</f>
        <v>NET INCREASE IN CASH</v>
      </c>
      <c r="B23" s="8"/>
      <c r="C23" s="8">
        <f>SUM(C12,C17,C21)</f>
        <v>318</v>
      </c>
      <c r="G23" s="22"/>
    </row>
    <row r="24" spans="1:7" x14ac:dyDescent="0.25">
      <c r="B24" s="8"/>
      <c r="C24" s="8"/>
      <c r="G24" s="22"/>
    </row>
    <row r="25" spans="1:7" x14ac:dyDescent="0.25">
      <c r="B25" s="8"/>
      <c r="C25" s="22"/>
      <c r="G25" s="22"/>
    </row>
    <row r="26" spans="1:7" x14ac:dyDescent="0.25">
      <c r="B26" s="8"/>
      <c r="C26" s="22"/>
      <c r="G26" s="22"/>
    </row>
    <row r="27" spans="1:7" x14ac:dyDescent="0.25">
      <c r="B27" s="8"/>
      <c r="C27" s="22"/>
      <c r="E27" s="20"/>
      <c r="F27" s="21"/>
      <c r="G27" s="22"/>
    </row>
    <row r="28" spans="1:7" x14ac:dyDescent="0.25">
      <c r="B28" s="8"/>
      <c r="C28" s="22"/>
      <c r="E28" s="20"/>
      <c r="F28" s="21"/>
      <c r="G28" s="22"/>
    </row>
    <row r="29" spans="1:7" x14ac:dyDescent="0.25">
      <c r="C29" s="7"/>
      <c r="E29" s="20"/>
      <c r="F29" s="21"/>
      <c r="G29" s="22"/>
    </row>
    <row r="30" spans="1:7" x14ac:dyDescent="0.25">
      <c r="E30" s="20"/>
      <c r="F30" s="21"/>
      <c r="G30" s="22"/>
    </row>
    <row r="31" spans="1:7" x14ac:dyDescent="0.25">
      <c r="E31" s="18"/>
      <c r="F31" s="21"/>
      <c r="G31" s="22"/>
    </row>
    <row r="32" spans="1:7" x14ac:dyDescent="0.25">
      <c r="E32" s="20"/>
      <c r="F32" s="21"/>
      <c r="G32" s="22"/>
    </row>
    <row r="33" spans="5:7" x14ac:dyDescent="0.25">
      <c r="E33" s="20"/>
      <c r="F33" s="23"/>
      <c r="G33" s="21"/>
    </row>
    <row r="34" spans="5:7" x14ac:dyDescent="0.25">
      <c r="E34" s="20"/>
      <c r="F34" s="23"/>
      <c r="G34" s="21"/>
    </row>
    <row r="35" spans="5:7" x14ac:dyDescent="0.25">
      <c r="E35" s="20"/>
      <c r="F35" s="23"/>
      <c r="G35" s="21"/>
    </row>
    <row r="36" spans="5:7" x14ac:dyDescent="0.25">
      <c r="E36" s="20"/>
      <c r="F36" s="21"/>
    </row>
    <row r="37" spans="5:7" x14ac:dyDescent="0.25">
      <c r="E37" s="18"/>
      <c r="F37" s="21"/>
    </row>
    <row r="38" spans="5:7" x14ac:dyDescent="0.25">
      <c r="E38" s="20"/>
      <c r="F38" s="21"/>
    </row>
    <row r="39" spans="5:7" x14ac:dyDescent="0.25">
      <c r="E39" s="20"/>
      <c r="F39" s="21"/>
    </row>
  </sheetData>
  <mergeCells count="1">
    <mergeCell ref="A1:K1"/>
  </mergeCells>
  <conditionalFormatting sqref="I12:I1048576 B2:C1048576 I2:I10 G4 F8:F17 G6:G1048576 F19:F1048576">
    <cfRule type="cellIs" dxfId="25" priority="9" operator="lessThan">
      <formula>0</formula>
    </cfRule>
    <cfRule type="cellIs" dxfId="24" priority="10" operator="greaterThan">
      <formula>0</formula>
    </cfRule>
  </conditionalFormatting>
  <conditionalFormatting sqref="I11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zoomScale="70" zoomScaleNormal="70" workbookViewId="0">
      <selection activeCell="I6" sqref="I6"/>
    </sheetView>
  </sheetViews>
  <sheetFormatPr defaultColWidth="11" defaultRowHeight="15.75" x14ac:dyDescent="0.25"/>
  <cols>
    <col min="2" max="2" width="49.25" bestFit="1" customWidth="1"/>
    <col min="3" max="3" width="12.875" bestFit="1" customWidth="1"/>
    <col min="5" max="5" width="34.25" bestFit="1" customWidth="1"/>
    <col min="7" max="7" width="25.625" bestFit="1" customWidth="1"/>
    <col min="8" max="8" width="19.125" bestFit="1" customWidth="1"/>
    <col min="9" max="9" width="12.25" bestFit="1" customWidth="1"/>
    <col min="11" max="11" width="12.75" customWidth="1"/>
    <col min="12" max="12" width="9.375" bestFit="1" customWidth="1"/>
  </cols>
  <sheetData>
    <row r="1" spans="1:16" ht="28.5" x14ac:dyDescent="0.45">
      <c r="A1" s="31" t="s">
        <v>38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ht="23.25" x14ac:dyDescent="0.35">
      <c r="B2" s="24" t="str">
        <f>UPPER("Balance sheet as of April 3, 2022")</f>
        <v>BALANCE SHEET AS OF APRIL 3, 2022</v>
      </c>
    </row>
    <row r="3" spans="1:16" x14ac:dyDescent="0.25">
      <c r="B3" t="s">
        <v>0</v>
      </c>
    </row>
    <row r="5" spans="1:16" x14ac:dyDescent="0.25">
      <c r="B5" s="14" t="str">
        <f>UPPER("Current Assets ")</f>
        <v xml:space="preserve">CURRENT ASSETS </v>
      </c>
      <c r="C5" s="1"/>
      <c r="D5" s="1"/>
      <c r="E5" s="14" t="str">
        <f>UPPER("Current Liabilities ")</f>
        <v xml:space="preserve">CURRENT LIABILITIES </v>
      </c>
      <c r="H5" s="14" t="str">
        <f>UPPER("Equity ")</f>
        <v xml:space="preserve">EQUITY </v>
      </c>
    </row>
    <row r="6" spans="1:16" x14ac:dyDescent="0.25">
      <c r="B6" t="str">
        <f>PROPER("Cash")</f>
        <v>Cash</v>
      </c>
      <c r="C6" s="8">
        <f>862-500-12-330-20 +250+250+250+250</f>
        <v>1000</v>
      </c>
      <c r="D6" s="1"/>
      <c r="E6" t="str">
        <f>PROPER("Accounts Payable")</f>
        <v>Accounts Payable</v>
      </c>
      <c r="F6" s="8">
        <v>0</v>
      </c>
      <c r="H6" t="str">
        <f>PROPER("Owners Equity")</f>
        <v>Owners Equity</v>
      </c>
      <c r="I6" s="8">
        <f>862</f>
        <v>862</v>
      </c>
    </row>
    <row r="7" spans="1:16" x14ac:dyDescent="0.25">
      <c r="B7" t="str">
        <f>PROPER("Accounts Recievable")</f>
        <v>Accounts Recievable</v>
      </c>
      <c r="C7" s="8">
        <v>0</v>
      </c>
      <c r="D7" s="1"/>
      <c r="E7" t="str">
        <f>PROPER("Salaries Payable")</f>
        <v>Salaries Payable</v>
      </c>
      <c r="F7" s="8"/>
      <c r="H7" t="str">
        <f>PROPER("Retained Earnings")</f>
        <v>Retained Earnings</v>
      </c>
      <c r="I7" s="8">
        <f>H41</f>
        <v>496</v>
      </c>
    </row>
    <row r="8" spans="1:16" x14ac:dyDescent="0.25">
      <c r="B8" t="str">
        <f>PROPER("Supplies")</f>
        <v>Supplies</v>
      </c>
      <c r="C8" s="8">
        <f xml:space="preserve">  12 - ((1/3)*12)</f>
        <v>8</v>
      </c>
      <c r="D8" s="1"/>
      <c r="E8" t="str">
        <f>PROPER("Interests Payable")</f>
        <v>Interests Payable</v>
      </c>
      <c r="F8" s="8">
        <v>0</v>
      </c>
      <c r="I8" s="9"/>
    </row>
    <row r="9" spans="1:16" x14ac:dyDescent="0.25">
      <c r="B9" t="str">
        <f>PROPER("Prepaid Expenses")</f>
        <v>Prepaid Expenses</v>
      </c>
      <c r="C9" s="8">
        <v>0</v>
      </c>
      <c r="D9" s="1"/>
      <c r="E9" t="str">
        <f>PROPER("Income Tax Payable")</f>
        <v>Income Tax Payable</v>
      </c>
      <c r="F9" s="8">
        <v>0</v>
      </c>
      <c r="H9" t="str">
        <f>UPPER("Total Equity ")</f>
        <v xml:space="preserve">TOTAL EQUITY </v>
      </c>
      <c r="I9" s="8">
        <f>SUM(I6:I7)</f>
        <v>1358</v>
      </c>
    </row>
    <row r="10" spans="1:16" x14ac:dyDescent="0.25">
      <c r="B10" t="str">
        <f>UPPER("Total Current Assets")</f>
        <v>TOTAL CURRENT ASSETS</v>
      </c>
      <c r="C10" s="8">
        <f>SUM(C6:C9)</f>
        <v>1008</v>
      </c>
      <c r="D10" s="1"/>
      <c r="E10" t="str">
        <f>UPPER("Total current Liability")</f>
        <v>TOTAL CURRENT LIABILITY</v>
      </c>
      <c r="F10" s="8">
        <f>SUM(F6:F9)</f>
        <v>0</v>
      </c>
    </row>
    <row r="11" spans="1:16" x14ac:dyDescent="0.25">
      <c r="C11" s="8"/>
      <c r="D11" s="1"/>
      <c r="F11" s="8"/>
    </row>
    <row r="12" spans="1:16" x14ac:dyDescent="0.25">
      <c r="C12" s="8"/>
      <c r="D12" s="1"/>
      <c r="F12" s="8"/>
    </row>
    <row r="13" spans="1:16" x14ac:dyDescent="0.25">
      <c r="B13" s="14" t="str">
        <f>UPPER("Non Current Assets ")</f>
        <v xml:space="preserve">NON CURRENT ASSETS </v>
      </c>
      <c r="C13" s="8"/>
      <c r="D13" s="1"/>
      <c r="E13" s="14" t="str">
        <f>UPPER("Non Current Liabilities ")</f>
        <v xml:space="preserve">NON CURRENT LIABILITIES </v>
      </c>
      <c r="F13" s="9"/>
    </row>
    <row r="14" spans="1:16" x14ac:dyDescent="0.25">
      <c r="B14" t="str">
        <f>PROPER("Long term investments")</f>
        <v>Long Term Investments</v>
      </c>
      <c r="C14" s="8">
        <v>0</v>
      </c>
      <c r="D14" s="1"/>
      <c r="E14" t="str">
        <f>PROPER("long term Borrowings")</f>
        <v>Long Term Borrowings</v>
      </c>
      <c r="F14" s="8">
        <v>0</v>
      </c>
    </row>
    <row r="15" spans="1:16" x14ac:dyDescent="0.25">
      <c r="B15" t="str">
        <f>PROPER("property, plant, and equipment")</f>
        <v>Property, Plant, And Equipment</v>
      </c>
      <c r="C15" s="8">
        <f xml:space="preserve"> 330+20</f>
        <v>350</v>
      </c>
      <c r="D15" s="1"/>
      <c r="E15" t="str">
        <f>UPPER("Total non current Liability")</f>
        <v>TOTAL NON CURRENT LIABILITY</v>
      </c>
      <c r="F15" s="8">
        <f>SUM(F14)</f>
        <v>0</v>
      </c>
    </row>
    <row r="16" spans="1:16" x14ac:dyDescent="0.25">
      <c r="B16" t="str">
        <f>UPPER("Total Current Assets")</f>
        <v>TOTAL CURRENT ASSETS</v>
      </c>
      <c r="C16" s="8">
        <f>SUM(C14:C15)</f>
        <v>350</v>
      </c>
      <c r="D16" s="1"/>
      <c r="E16" s="1"/>
      <c r="F16" s="9"/>
    </row>
    <row r="17" spans="2:12" x14ac:dyDescent="0.25">
      <c r="B17" t="s">
        <v>1</v>
      </c>
      <c r="C17" s="8"/>
      <c r="D17" s="1"/>
      <c r="E17" t="str">
        <f>UPPER("Total Liability ")</f>
        <v xml:space="preserve">TOTAL LIABILITY </v>
      </c>
      <c r="F17" s="8">
        <f>SUM(F10,F15)</f>
        <v>0</v>
      </c>
      <c r="L17" s="2"/>
    </row>
    <row r="18" spans="2:12" x14ac:dyDescent="0.25">
      <c r="C18" s="9"/>
      <c r="D18" s="1"/>
      <c r="E18" s="1"/>
    </row>
    <row r="19" spans="2:12" x14ac:dyDescent="0.25">
      <c r="B19" t="str">
        <f>UPPER("Total Current Assets")</f>
        <v>TOTAL CURRENT ASSETS</v>
      </c>
      <c r="C19" s="8">
        <f>SUM(C10,C16)</f>
        <v>1358</v>
      </c>
      <c r="D19" s="1"/>
      <c r="E19" s="1"/>
    </row>
    <row r="20" spans="2:12" x14ac:dyDescent="0.25">
      <c r="C20" s="1"/>
      <c r="D20" s="1"/>
      <c r="E20" s="1"/>
    </row>
    <row r="21" spans="2:12" x14ac:dyDescent="0.25">
      <c r="C21" s="1"/>
      <c r="D21" s="1"/>
      <c r="E21" s="1"/>
      <c r="G21" t="str">
        <f>UPPER("Total Liability and equity")</f>
        <v>TOTAL LIABILITY AND EQUITY</v>
      </c>
      <c r="H21" s="8">
        <f>SUM(F17,I9)</f>
        <v>1358</v>
      </c>
    </row>
    <row r="22" spans="2:12" x14ac:dyDescent="0.25">
      <c r="B22" s="16" t="str">
        <f>UPPER("Company operations")</f>
        <v>COMPANY OPERATIONS</v>
      </c>
      <c r="C22" s="1"/>
    </row>
    <row r="23" spans="2:12" x14ac:dyDescent="0.25">
      <c r="B23" t="s">
        <v>2</v>
      </c>
      <c r="C23" s="1"/>
    </row>
    <row r="24" spans="2:12" x14ac:dyDescent="0.25">
      <c r="B24" t="s">
        <v>4</v>
      </c>
      <c r="C24" s="1"/>
    </row>
    <row r="25" spans="2:12" x14ac:dyDescent="0.25">
      <c r="B25" t="s">
        <v>5</v>
      </c>
      <c r="C25" s="1"/>
      <c r="F25" s="1"/>
    </row>
    <row r="26" spans="2:12" x14ac:dyDescent="0.25">
      <c r="B26" t="s">
        <v>3</v>
      </c>
      <c r="C26" s="1"/>
      <c r="F26" s="1"/>
    </row>
    <row r="27" spans="2:12" x14ac:dyDescent="0.25">
      <c r="B27" t="s">
        <v>6</v>
      </c>
      <c r="C27" s="1"/>
      <c r="F27" s="1"/>
      <c r="K27" t="s">
        <v>13</v>
      </c>
      <c r="L27" s="9">
        <f>C19</f>
        <v>1358</v>
      </c>
    </row>
    <row r="28" spans="2:12" x14ac:dyDescent="0.25">
      <c r="B28" t="s">
        <v>7</v>
      </c>
      <c r="C28" s="1"/>
      <c r="F28" s="1"/>
    </row>
    <row r="29" spans="2:12" x14ac:dyDescent="0.25">
      <c r="B29" t="s">
        <v>8</v>
      </c>
      <c r="C29" s="1"/>
      <c r="F29" s="1"/>
    </row>
    <row r="30" spans="2:12" x14ac:dyDescent="0.25">
      <c r="B30" t="s">
        <v>9</v>
      </c>
      <c r="C30" s="1"/>
    </row>
    <row r="31" spans="2:12" x14ac:dyDescent="0.25">
      <c r="B31" t="s">
        <v>7</v>
      </c>
    </row>
    <row r="32" spans="2:12" x14ac:dyDescent="0.25">
      <c r="B32" s="3" t="s">
        <v>10</v>
      </c>
      <c r="K32" t="s">
        <v>12</v>
      </c>
      <c r="L32" s="4">
        <v>0.2</v>
      </c>
    </row>
    <row r="35" spans="2:12" x14ac:dyDescent="0.25">
      <c r="B35" s="26" t="str">
        <f>UPPER("balance check ")</f>
        <v xml:space="preserve">BALANCE CHECK </v>
      </c>
      <c r="C35" s="30">
        <f>C19-H21</f>
        <v>0</v>
      </c>
      <c r="G35" s="14" t="str">
        <f>UPPER("Income Statement ")</f>
        <v xml:space="preserve">INCOME STATEMENT </v>
      </c>
      <c r="K35" t="s">
        <v>11</v>
      </c>
      <c r="L35" s="11">
        <f>L27*L32</f>
        <v>271.60000000000002</v>
      </c>
    </row>
    <row r="36" spans="2:12" x14ac:dyDescent="0.25">
      <c r="G36" s="13" t="str">
        <f>PROPER("Sales")</f>
        <v>Sales</v>
      </c>
      <c r="H36" s="8">
        <v>1000</v>
      </c>
    </row>
    <row r="37" spans="2:12" x14ac:dyDescent="0.25">
      <c r="G37" s="13" t="str">
        <f>PROPER("Cost of sales")</f>
        <v>Cost Of Sales</v>
      </c>
      <c r="H37" s="8">
        <v>-4</v>
      </c>
    </row>
    <row r="38" spans="2:12" x14ac:dyDescent="0.25">
      <c r="G38" s="13" t="str">
        <f>UPPER("Gross Profits")</f>
        <v>GROSS PROFITS</v>
      </c>
      <c r="H38" s="8">
        <f>SUM(H36:H37)</f>
        <v>996</v>
      </c>
    </row>
    <row r="39" spans="2:12" x14ac:dyDescent="0.25">
      <c r="G39" s="13" t="str">
        <f>PROPER("Salaries")</f>
        <v>Salaries</v>
      </c>
      <c r="H39" s="8">
        <v>-500</v>
      </c>
    </row>
    <row r="40" spans="2:12" x14ac:dyDescent="0.25">
      <c r="G40" s="13"/>
      <c r="H40" s="10"/>
    </row>
    <row r="41" spans="2:12" x14ac:dyDescent="0.25">
      <c r="G41" s="13" t="s">
        <v>37</v>
      </c>
      <c r="H41" s="8">
        <f>SUM(H38:H40)</f>
        <v>496</v>
      </c>
    </row>
    <row r="42" spans="2:12" x14ac:dyDescent="0.25">
      <c r="G42" s="13" t="s">
        <v>14</v>
      </c>
      <c r="H42" s="8">
        <v>-272</v>
      </c>
    </row>
    <row r="43" spans="2:12" x14ac:dyDescent="0.25">
      <c r="G43" s="13" t="str">
        <f>PROPER("Income before tax")</f>
        <v>Income Before Tax</v>
      </c>
      <c r="H43" s="8">
        <f>SUM(H41:H42)</f>
        <v>224</v>
      </c>
    </row>
    <row r="44" spans="2:12" x14ac:dyDescent="0.25">
      <c r="G44" s="13" t="str">
        <f>PROPER("Income tax expense")</f>
        <v>Income Tax Expense</v>
      </c>
      <c r="H44" s="10">
        <f xml:space="preserve"> 0.15*(-H43)</f>
        <v>-33.6</v>
      </c>
    </row>
    <row r="45" spans="2:12" x14ac:dyDescent="0.25">
      <c r="G45" s="13" t="str">
        <f>UPPER("net income")</f>
        <v>NET INCOME</v>
      </c>
      <c r="H45" s="10">
        <f>SUM(H43:H44)</f>
        <v>190.4</v>
      </c>
    </row>
  </sheetData>
  <mergeCells count="1">
    <mergeCell ref="A1:P1"/>
  </mergeCells>
  <conditionalFormatting sqref="C4:E4 D16:E16 C6:D12 F6:F9 F14 D18:E21 D17 F25:F29 H21 D13:D15 C14:C17">
    <cfRule type="cellIs" dxfId="21" priority="31" operator="lessThan">
      <formula>0</formula>
    </cfRule>
    <cfRule type="cellIs" dxfId="20" priority="32" operator="greaterThan">
      <formula>0</formula>
    </cfRule>
  </conditionalFormatting>
  <conditionalFormatting sqref="F10:F12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F15">
    <cfRule type="cellIs" dxfId="17" priority="25" operator="lessThan">
      <formula>0</formula>
    </cfRule>
    <cfRule type="cellIs" dxfId="16" priority="26" operator="greaterThan">
      <formula>0</formula>
    </cfRule>
  </conditionalFormatting>
  <conditionalFormatting sqref="F17">
    <cfRule type="cellIs" dxfId="15" priority="23" operator="lessThan">
      <formula>0</formula>
    </cfRule>
    <cfRule type="cellIs" dxfId="14" priority="24" operator="greaterThan">
      <formula>0</formula>
    </cfRule>
  </conditionalFormatting>
  <conditionalFormatting sqref="I6:I7">
    <cfRule type="cellIs" dxfId="13" priority="21" operator="lessThan">
      <formula>0</formula>
    </cfRule>
    <cfRule type="cellIs" dxfId="12" priority="22" operator="greaterThan">
      <formula>0</formula>
    </cfRule>
  </conditionalFormatting>
  <conditionalFormatting sqref="I9">
    <cfRule type="cellIs" dxfId="11" priority="19" operator="lessThan">
      <formula>0</formula>
    </cfRule>
    <cfRule type="cellIs" dxfId="10" priority="20" operator="greaterThan">
      <formula>0</formula>
    </cfRule>
  </conditionalFormatting>
  <conditionalFormatting sqref="C20:C30">
    <cfRule type="cellIs" dxfId="9" priority="17" operator="lessThan">
      <formula>0</formula>
    </cfRule>
    <cfRule type="cellIs" dxfId="8" priority="18" operator="greaterThan">
      <formula>0</formula>
    </cfRule>
  </conditionalFormatting>
  <conditionalFormatting sqref="C19">
    <cfRule type="cellIs" dxfId="7" priority="9" operator="lessThan">
      <formula>0</formula>
    </cfRule>
    <cfRule type="cellIs" dxfId="6" priority="10" operator="greaterThan">
      <formula>0</formula>
    </cfRule>
  </conditionalFormatting>
  <conditionalFormatting sqref="H43:H45 H36:H40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H41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H4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1:AB28"/>
  <sheetViews>
    <sheetView zoomScale="80" zoomScaleNormal="80" workbookViewId="0">
      <selection activeCell="G24" sqref="G24"/>
    </sheetView>
  </sheetViews>
  <sheetFormatPr defaultRowHeight="15.75" x14ac:dyDescent="0.25"/>
  <cols>
    <col min="3" max="3" width="14.375" bestFit="1" customWidth="1"/>
    <col min="4" max="4" width="10.625" bestFit="1" customWidth="1"/>
    <col min="11" max="11" width="14.375" bestFit="1" customWidth="1"/>
    <col min="22" max="22" width="14.375" bestFit="1" customWidth="1"/>
  </cols>
  <sheetData>
    <row r="21" spans="3:28" x14ac:dyDescent="0.25">
      <c r="C21" s="32" t="s">
        <v>32</v>
      </c>
      <c r="D21" s="32"/>
      <c r="E21" s="32"/>
      <c r="K21" s="32" t="s">
        <v>33</v>
      </c>
      <c r="L21" s="32"/>
      <c r="M21" s="32"/>
      <c r="N21" s="32"/>
      <c r="O21" s="32"/>
      <c r="P21" s="32"/>
      <c r="Q21" s="32"/>
      <c r="V21" s="32" t="s">
        <v>33</v>
      </c>
      <c r="W21" s="32"/>
      <c r="X21" s="32"/>
      <c r="Y21" s="32"/>
      <c r="Z21" s="32"/>
      <c r="AA21" s="32"/>
      <c r="AB21" s="32"/>
    </row>
    <row r="23" spans="3:28" x14ac:dyDescent="0.25">
      <c r="C23" s="29" t="s">
        <v>34</v>
      </c>
      <c r="D23" s="8">
        <v>2037</v>
      </c>
      <c r="E23" s="5">
        <v>0.3</v>
      </c>
      <c r="L23">
        <v>2015</v>
      </c>
      <c r="M23">
        <v>2016</v>
      </c>
      <c r="N23">
        <v>2017</v>
      </c>
      <c r="O23">
        <v>2018</v>
      </c>
      <c r="P23">
        <v>2019</v>
      </c>
      <c r="Q23">
        <v>2020</v>
      </c>
      <c r="W23">
        <v>2023</v>
      </c>
      <c r="X23">
        <v>2024</v>
      </c>
      <c r="Y23">
        <v>2025</v>
      </c>
      <c r="Z23">
        <v>2026</v>
      </c>
      <c r="AA23">
        <v>2027</v>
      </c>
    </row>
    <row r="24" spans="3:28" x14ac:dyDescent="0.25">
      <c r="C24" s="29" t="s">
        <v>35</v>
      </c>
      <c r="D24" s="8">
        <v>2716</v>
      </c>
      <c r="E24" s="5">
        <v>0.4</v>
      </c>
      <c r="K24" s="29" t="s">
        <v>34</v>
      </c>
      <c r="L24" s="5">
        <v>0.3</v>
      </c>
      <c r="M24" s="5">
        <v>0.2</v>
      </c>
      <c r="N24" s="5">
        <v>0.25</v>
      </c>
      <c r="O24" s="5">
        <v>0.27</v>
      </c>
      <c r="P24" s="5">
        <v>0.3</v>
      </c>
      <c r="Q24" s="5">
        <v>0.33</v>
      </c>
      <c r="V24" s="29" t="s">
        <v>34</v>
      </c>
      <c r="W24" s="5">
        <v>0.25</v>
      </c>
      <c r="X24" s="5">
        <v>0.2</v>
      </c>
      <c r="Y24" s="5">
        <v>0.15</v>
      </c>
      <c r="Z24" s="5">
        <v>0.14000000000000001</v>
      </c>
      <c r="AA24" s="5">
        <v>0.1</v>
      </c>
      <c r="AB24" s="5"/>
    </row>
    <row r="25" spans="3:28" x14ac:dyDescent="0.25">
      <c r="C25" s="29" t="s">
        <v>36</v>
      </c>
      <c r="D25" s="8">
        <v>679</v>
      </c>
      <c r="E25" s="5">
        <v>0.1</v>
      </c>
      <c r="K25" s="29" t="s">
        <v>35</v>
      </c>
      <c r="L25" s="5">
        <v>0.4</v>
      </c>
      <c r="M25" s="5">
        <v>0.44</v>
      </c>
      <c r="N25" s="5">
        <v>0.5</v>
      </c>
      <c r="O25" s="5">
        <v>0.49</v>
      </c>
      <c r="P25" s="5">
        <v>0.55000000000000004</v>
      </c>
      <c r="Q25" s="5">
        <v>0.56000000000000005</v>
      </c>
      <c r="V25" s="29" t="s">
        <v>35</v>
      </c>
      <c r="W25" s="5">
        <v>0.4</v>
      </c>
      <c r="X25" s="5">
        <v>0.42</v>
      </c>
      <c r="Y25" s="5">
        <v>0.4</v>
      </c>
      <c r="Z25" s="5">
        <v>0.4</v>
      </c>
      <c r="AA25" s="5">
        <v>0.35</v>
      </c>
      <c r="AB25" s="5"/>
    </row>
    <row r="26" spans="3:28" x14ac:dyDescent="0.25">
      <c r="C26" s="29" t="s">
        <v>15</v>
      </c>
      <c r="D26" s="8">
        <v>1358</v>
      </c>
      <c r="E26" s="5">
        <v>0.2</v>
      </c>
      <c r="K26" s="29" t="s">
        <v>36</v>
      </c>
      <c r="L26" s="5">
        <v>0.3</v>
      </c>
      <c r="M26" s="5">
        <v>0.36</v>
      </c>
      <c r="N26" s="5">
        <v>0.25</v>
      </c>
      <c r="O26" s="5">
        <v>0.24</v>
      </c>
      <c r="P26" s="5">
        <v>0.15</v>
      </c>
      <c r="Q26" s="5">
        <v>0.11</v>
      </c>
      <c r="V26" s="29" t="s">
        <v>36</v>
      </c>
      <c r="W26" s="5">
        <v>0.1</v>
      </c>
      <c r="X26" s="5">
        <v>0.08</v>
      </c>
      <c r="Y26" s="5">
        <v>0.09</v>
      </c>
      <c r="Z26" s="5">
        <v>0.05</v>
      </c>
      <c r="AA26" s="5">
        <v>0.09</v>
      </c>
      <c r="AB26" s="5"/>
    </row>
    <row r="27" spans="3:28" x14ac:dyDescent="0.25">
      <c r="D27" s="8">
        <f>SUM(D23:D26)</f>
        <v>6790</v>
      </c>
      <c r="L27" s="4"/>
      <c r="M27" s="4"/>
      <c r="N27" s="4"/>
      <c r="O27" s="4"/>
      <c r="P27" s="4"/>
      <c r="Q27" s="4"/>
      <c r="V27" s="29" t="s">
        <v>40</v>
      </c>
      <c r="W27" s="5">
        <v>0.25</v>
      </c>
      <c r="X27" s="5">
        <v>0.3</v>
      </c>
      <c r="Y27" s="5">
        <v>0.36</v>
      </c>
      <c r="Z27" s="5">
        <v>0.41</v>
      </c>
      <c r="AA27" s="5">
        <v>0.46</v>
      </c>
    </row>
    <row r="28" spans="3:28" x14ac:dyDescent="0.25">
      <c r="E28" s="5"/>
      <c r="W28" s="4"/>
      <c r="X28" s="4"/>
      <c r="Y28" s="4"/>
      <c r="Z28" s="4"/>
      <c r="AA28" s="4"/>
    </row>
  </sheetData>
  <mergeCells count="3">
    <mergeCell ref="C21:E21"/>
    <mergeCell ref="K21:Q21"/>
    <mergeCell ref="V21:AB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zoomScale="80" zoomScaleNormal="80" workbookViewId="0">
      <selection sqref="A1:XFD1048576"/>
    </sheetView>
  </sheetViews>
  <sheetFormatPr defaultRowHeight="15.75" x14ac:dyDescent="0.25"/>
  <cols>
    <col min="4" max="4" width="4.875" bestFit="1" customWidth="1"/>
    <col min="5" max="6" width="13.125" bestFit="1" customWidth="1"/>
    <col min="7" max="7" width="10.875" bestFit="1" customWidth="1"/>
    <col min="14" max="14" width="4.875" bestFit="1" customWidth="1"/>
    <col min="15" max="16" width="13.125" bestFit="1" customWidth="1"/>
    <col min="17" max="17" width="10.875" bestFit="1" customWidth="1"/>
  </cols>
  <sheetData>
    <row r="2" spans="1:17" ht="21" x14ac:dyDescent="0.35">
      <c r="A2" s="34" t="s">
        <v>41</v>
      </c>
      <c r="B2" s="34"/>
      <c r="C2" s="34"/>
      <c r="D2" s="34"/>
      <c r="E2" s="34"/>
      <c r="F2" s="34"/>
      <c r="G2" s="34"/>
      <c r="K2" s="35" t="s">
        <v>42</v>
      </c>
      <c r="L2" s="35"/>
      <c r="M2" s="35"/>
      <c r="N2" s="35"/>
      <c r="O2" s="35"/>
      <c r="P2" s="35"/>
      <c r="Q2" s="35"/>
    </row>
    <row r="3" spans="1:17" x14ac:dyDescent="0.25">
      <c r="D3" s="28" t="s">
        <v>28</v>
      </c>
      <c r="E3" s="28" t="s">
        <v>29</v>
      </c>
      <c r="F3" s="28" t="s">
        <v>30</v>
      </c>
      <c r="G3" s="28" t="s">
        <v>31</v>
      </c>
      <c r="N3" s="28" t="s">
        <v>28</v>
      </c>
      <c r="O3" s="28" t="s">
        <v>29</v>
      </c>
      <c r="P3" s="28" t="s">
        <v>30</v>
      </c>
      <c r="Q3" s="28" t="s">
        <v>31</v>
      </c>
    </row>
    <row r="4" spans="1:17" x14ac:dyDescent="0.25">
      <c r="D4" s="27">
        <v>1</v>
      </c>
      <c r="E4" s="9">
        <v>1358</v>
      </c>
      <c r="F4" s="9">
        <f>E4*B5</f>
        <v>271.60000000000002</v>
      </c>
      <c r="G4" s="9">
        <f>E4-F4</f>
        <v>1086.4000000000001</v>
      </c>
      <c r="N4" s="27">
        <v>1</v>
      </c>
      <c r="O4" s="9">
        <v>1358</v>
      </c>
      <c r="P4" s="9">
        <f>O4*L5</f>
        <v>339.5</v>
      </c>
      <c r="Q4" s="9">
        <f>O4-P4</f>
        <v>1018.5</v>
      </c>
    </row>
    <row r="5" spans="1:17" x14ac:dyDescent="0.25">
      <c r="A5" s="25" t="s">
        <v>26</v>
      </c>
      <c r="B5">
        <v>0.2</v>
      </c>
      <c r="D5" s="27">
        <v>2</v>
      </c>
      <c r="E5" s="9">
        <f>G4*(1+B$6)</f>
        <v>1140.7200000000003</v>
      </c>
      <c r="F5" s="9">
        <f>F4*(1+B$6)</f>
        <v>285.18000000000006</v>
      </c>
      <c r="G5" s="9">
        <f t="shared" ref="G5:G8" si="0">E5-F5</f>
        <v>855.54000000000019</v>
      </c>
      <c r="K5" s="25" t="s">
        <v>26</v>
      </c>
      <c r="L5">
        <v>0.25</v>
      </c>
      <c r="N5" s="27">
        <v>2</v>
      </c>
      <c r="O5" s="9">
        <f>Q4*(1+L$6)</f>
        <v>1069.425</v>
      </c>
      <c r="P5" s="9">
        <f>P4*(1+L$6)</f>
        <v>356.47500000000002</v>
      </c>
      <c r="Q5" s="9">
        <f t="shared" ref="Q5:Q7" si="1">O5-P5</f>
        <v>712.94999999999993</v>
      </c>
    </row>
    <row r="6" spans="1:17" x14ac:dyDescent="0.25">
      <c r="A6" s="25" t="s">
        <v>27</v>
      </c>
      <c r="B6">
        <v>0.05</v>
      </c>
      <c r="D6" s="27">
        <v>3</v>
      </c>
      <c r="E6" s="9">
        <f t="shared" ref="E6:E8" si="2">G5*(1+B$6)</f>
        <v>898.31700000000023</v>
      </c>
      <c r="F6" s="9">
        <f t="shared" ref="F6:F8" si="3">F5*(1+B$6)</f>
        <v>299.43900000000008</v>
      </c>
      <c r="G6" s="9">
        <f t="shared" si="0"/>
        <v>598.87800000000016</v>
      </c>
      <c r="K6" s="25" t="s">
        <v>27</v>
      </c>
      <c r="L6">
        <v>0.05</v>
      </c>
      <c r="N6" s="27">
        <v>3</v>
      </c>
      <c r="O6" s="9">
        <f t="shared" ref="O6:O7" si="4">Q5*(1+L$6)</f>
        <v>748.59749999999997</v>
      </c>
      <c r="P6" s="9">
        <f t="shared" ref="P6:P7" si="5">P5*(1+L$6)</f>
        <v>374.29875000000004</v>
      </c>
      <c r="Q6" s="9">
        <f t="shared" si="1"/>
        <v>374.29874999999993</v>
      </c>
    </row>
    <row r="7" spans="1:17" x14ac:dyDescent="0.25">
      <c r="D7" s="27">
        <v>4</v>
      </c>
      <c r="E7" s="9">
        <f t="shared" si="2"/>
        <v>628.82190000000014</v>
      </c>
      <c r="F7" s="9">
        <f t="shared" si="3"/>
        <v>314.41095000000007</v>
      </c>
      <c r="G7" s="9">
        <f t="shared" si="0"/>
        <v>314.41095000000007</v>
      </c>
      <c r="N7" s="27">
        <v>4</v>
      </c>
      <c r="O7" s="9">
        <f t="shared" si="4"/>
        <v>393.01368749999995</v>
      </c>
      <c r="P7" s="9">
        <f t="shared" si="5"/>
        <v>393.01368750000006</v>
      </c>
      <c r="Q7" s="9">
        <f t="shared" si="1"/>
        <v>0</v>
      </c>
    </row>
    <row r="8" spans="1:17" x14ac:dyDescent="0.25">
      <c r="D8" s="27">
        <v>5</v>
      </c>
      <c r="E8" s="9">
        <f t="shared" si="2"/>
        <v>330.13149750000008</v>
      </c>
      <c r="F8" s="9">
        <f t="shared" si="3"/>
        <v>330.13149750000008</v>
      </c>
      <c r="G8" s="9">
        <f t="shared" si="0"/>
        <v>0</v>
      </c>
      <c r="N8" s="27"/>
    </row>
    <row r="10" spans="1:17" x14ac:dyDescent="0.25">
      <c r="O10" t="s">
        <v>39</v>
      </c>
      <c r="P10">
        <f>AVERAGE(P4:P7)</f>
        <v>365.82185937500003</v>
      </c>
    </row>
    <row r="11" spans="1:17" x14ac:dyDescent="0.25">
      <c r="E11" t="s">
        <v>39</v>
      </c>
      <c r="F11">
        <f>AVERAGE(F4:F8)</f>
        <v>300.15228950000005</v>
      </c>
    </row>
    <row r="16" spans="1:17" ht="21" x14ac:dyDescent="0.35">
      <c r="A16" s="35" t="s">
        <v>43</v>
      </c>
      <c r="B16" s="35"/>
      <c r="C16" s="35"/>
      <c r="D16" s="35"/>
      <c r="E16" s="35"/>
      <c r="F16" s="35"/>
      <c r="G16" s="35"/>
      <c r="K16" s="35" t="s">
        <v>44</v>
      </c>
      <c r="L16" s="35"/>
      <c r="M16" s="35"/>
      <c r="N16" s="35"/>
      <c r="O16" s="35"/>
      <c r="P16" s="35"/>
      <c r="Q16" s="35"/>
    </row>
    <row r="17" spans="1:17" x14ac:dyDescent="0.25">
      <c r="D17" s="28" t="s">
        <v>28</v>
      </c>
      <c r="E17" s="28" t="s">
        <v>29</v>
      </c>
      <c r="F17" s="28" t="s">
        <v>30</v>
      </c>
      <c r="G17" s="28" t="s">
        <v>31</v>
      </c>
      <c r="N17" s="28" t="s">
        <v>28</v>
      </c>
      <c r="O17" s="28" t="s">
        <v>29</v>
      </c>
      <c r="P17" s="28" t="s">
        <v>30</v>
      </c>
      <c r="Q17" s="28" t="s">
        <v>31</v>
      </c>
    </row>
    <row r="18" spans="1:17" x14ac:dyDescent="0.25">
      <c r="D18" s="27">
        <v>1</v>
      </c>
      <c r="E18" s="33">
        <v>1358</v>
      </c>
      <c r="F18" s="33">
        <f>E18*B19</f>
        <v>271.60000000000002</v>
      </c>
      <c r="G18" s="33">
        <f>E18-F18</f>
        <v>1086.4000000000001</v>
      </c>
      <c r="N18" s="27">
        <v>1</v>
      </c>
      <c r="O18" s="9">
        <v>1358</v>
      </c>
      <c r="P18" s="9">
        <f>O18*L19</f>
        <v>339.5</v>
      </c>
      <c r="Q18" s="9">
        <f>O18-P18</f>
        <v>1018.5</v>
      </c>
    </row>
    <row r="19" spans="1:17" x14ac:dyDescent="0.25">
      <c r="A19" s="25" t="s">
        <v>26</v>
      </c>
      <c r="B19">
        <v>0.2</v>
      </c>
      <c r="D19" s="27">
        <v>2</v>
      </c>
      <c r="E19" s="33">
        <f>G18*(1+B$20)</f>
        <v>1249.3599999999999</v>
      </c>
      <c r="F19" s="33">
        <f>F18*(1+B$20)</f>
        <v>312.33999999999997</v>
      </c>
      <c r="G19" s="33">
        <f t="shared" ref="G19:G22" si="6">E19-F19</f>
        <v>937.02</v>
      </c>
      <c r="K19" s="25" t="s">
        <v>26</v>
      </c>
      <c r="L19">
        <v>0.25</v>
      </c>
      <c r="N19" s="27">
        <v>2</v>
      </c>
      <c r="O19" s="9">
        <f>Q18*(1+L$20)</f>
        <v>1171.2749999999999</v>
      </c>
      <c r="P19" s="9">
        <f>P18*(1+L$20)</f>
        <v>390.42499999999995</v>
      </c>
      <c r="Q19" s="9">
        <f t="shared" ref="Q19:Q21" si="7">O19-P19</f>
        <v>780.84999999999991</v>
      </c>
    </row>
    <row r="20" spans="1:17" x14ac:dyDescent="0.25">
      <c r="A20" s="25" t="s">
        <v>27</v>
      </c>
      <c r="B20">
        <v>0.15</v>
      </c>
      <c r="D20" s="27">
        <v>3</v>
      </c>
      <c r="E20" s="33">
        <f t="shared" ref="E20:E22" si="8">G19*(1+B$20)</f>
        <v>1077.5729999999999</v>
      </c>
      <c r="F20" s="33">
        <f t="shared" ref="F20:F22" si="9">F19*(1+B$20)</f>
        <v>359.19099999999992</v>
      </c>
      <c r="G20" s="33">
        <f t="shared" si="6"/>
        <v>718.38199999999995</v>
      </c>
      <c r="K20" s="25" t="s">
        <v>27</v>
      </c>
      <c r="L20">
        <v>0.15</v>
      </c>
      <c r="N20" s="27">
        <v>3</v>
      </c>
      <c r="O20" s="9">
        <f t="shared" ref="O20:O21" si="10">Q19*(1+L$20)</f>
        <v>897.97749999999985</v>
      </c>
      <c r="P20" s="9">
        <f t="shared" ref="P20:P21" si="11">P19*(1+L$20)</f>
        <v>448.98874999999992</v>
      </c>
      <c r="Q20" s="9">
        <f t="shared" si="7"/>
        <v>448.98874999999992</v>
      </c>
    </row>
    <row r="21" spans="1:17" x14ac:dyDescent="0.25">
      <c r="D21" s="27">
        <v>4</v>
      </c>
      <c r="E21" s="33">
        <f t="shared" si="8"/>
        <v>826.13929999999982</v>
      </c>
      <c r="F21" s="33">
        <f t="shared" si="9"/>
        <v>413.06964999999985</v>
      </c>
      <c r="G21" s="33">
        <f t="shared" si="6"/>
        <v>413.06964999999997</v>
      </c>
      <c r="N21" s="27">
        <v>4</v>
      </c>
      <c r="O21" s="9">
        <f t="shared" si="10"/>
        <v>516.33706249999989</v>
      </c>
      <c r="P21" s="9">
        <f t="shared" si="11"/>
        <v>516.33706249999989</v>
      </c>
      <c r="Q21" s="9">
        <f t="shared" si="7"/>
        <v>0</v>
      </c>
    </row>
    <row r="22" spans="1:17" x14ac:dyDescent="0.25">
      <c r="D22" s="27">
        <v>5</v>
      </c>
      <c r="E22" s="33">
        <f t="shared" si="8"/>
        <v>475.03009749999995</v>
      </c>
      <c r="F22" s="33">
        <f t="shared" si="9"/>
        <v>475.03009749999978</v>
      </c>
      <c r="G22" s="33">
        <f t="shared" si="6"/>
        <v>0</v>
      </c>
      <c r="N22" s="27"/>
    </row>
    <row r="24" spans="1:17" x14ac:dyDescent="0.25">
      <c r="O24" t="s">
        <v>39</v>
      </c>
      <c r="P24">
        <f>AVERAGE(P18:P21)</f>
        <v>423.81270312499998</v>
      </c>
    </row>
    <row r="25" spans="1:17" x14ac:dyDescent="0.25">
      <c r="E25" t="s">
        <v>39</v>
      </c>
      <c r="F25">
        <f>AVERAGE(F18:F22)</f>
        <v>366.24614949999989</v>
      </c>
    </row>
  </sheetData>
  <mergeCells count="4">
    <mergeCell ref="A2:G2"/>
    <mergeCell ref="K2:Q2"/>
    <mergeCell ref="A16:G16"/>
    <mergeCell ref="K16:Q16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CareCar Statements</vt:lpstr>
      <vt:lpstr>CareCar Balance Sheet</vt:lpstr>
      <vt:lpstr>CareCar Charts</vt:lpstr>
      <vt:lpstr>CareCare Loan Paid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dimons-0269@hotmail.com</cp:lastModifiedBy>
  <dcterms:created xsi:type="dcterms:W3CDTF">2021-04-01T01:43:58Z</dcterms:created>
  <dcterms:modified xsi:type="dcterms:W3CDTF">2021-04-03T17:35:54Z</dcterms:modified>
</cp:coreProperties>
</file>